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28AB0D0-B559-4F12-8E32-C83B9BEA02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ZEMBRO 2023" sheetId="23" r:id="rId1"/>
  </sheets>
  <definedNames>
    <definedName name="_xlnm.Print_Area" localSheetId="0">'DEZEMBRO 2023'!$A$1:$X$91</definedName>
  </definedNames>
  <calcPr calcId="181029"/>
  <extLst>
    <ext uri="GoogleSheetsCustomDataVersion2">
      <go:sheetsCustomData xmlns:go="http://customooxmlschemas.google.com/" r:id="rId28" roundtripDataChecksum="5z95ThiZSsVbu+wX2vA5V3id9cpbIv+MkmEYq5RMcuU="/>
    </ext>
  </extLst>
</workbook>
</file>

<file path=xl/calcChain.xml><?xml version="1.0" encoding="utf-8"?>
<calcChain xmlns="http://schemas.openxmlformats.org/spreadsheetml/2006/main">
  <c r="Q87" i="23" l="1"/>
  <c r="P87" i="23"/>
  <c r="O87" i="23"/>
  <c r="N86" i="23"/>
  <c r="R86" i="23" s="1"/>
  <c r="M85" i="23"/>
  <c r="L85" i="23"/>
  <c r="N85" i="23" s="1"/>
  <c r="R85" i="23" s="1"/>
  <c r="N84" i="23"/>
  <c r="R84" i="23" s="1"/>
  <c r="V84" i="23" s="1"/>
  <c r="N83" i="23"/>
  <c r="R83" i="23" s="1"/>
  <c r="W82" i="23"/>
  <c r="U82" i="23"/>
  <c r="S82" i="23"/>
  <c r="M82" i="23"/>
  <c r="L82" i="23"/>
  <c r="N82" i="23" s="1"/>
  <c r="R82" i="23" s="1"/>
  <c r="W81" i="23"/>
  <c r="W80" i="23" s="1"/>
  <c r="U81" i="23"/>
  <c r="U80" i="23" s="1"/>
  <c r="S81" i="23"/>
  <c r="S80" i="23" s="1"/>
  <c r="M81" i="23"/>
  <c r="K81" i="23"/>
  <c r="K80" i="23" s="1"/>
  <c r="L80" i="23"/>
  <c r="W79" i="23"/>
  <c r="W78" i="23" s="1"/>
  <c r="U79" i="23"/>
  <c r="U78" i="23" s="1"/>
  <c r="S79" i="23"/>
  <c r="S78" i="23" s="1"/>
  <c r="N79" i="23"/>
  <c r="R79" i="23" s="1"/>
  <c r="L78" i="23"/>
  <c r="N78" i="23" s="1"/>
  <c r="R78" i="23" s="1"/>
  <c r="T78" i="23" s="1"/>
  <c r="W77" i="23"/>
  <c r="U77" i="23"/>
  <c r="S77" i="23"/>
  <c r="S76" i="23" s="1"/>
  <c r="L77" i="23"/>
  <c r="N77" i="23" s="1"/>
  <c r="R77" i="23" s="1"/>
  <c r="W76" i="23"/>
  <c r="U76" i="23"/>
  <c r="M76" i="23"/>
  <c r="K76" i="23"/>
  <c r="N75" i="23"/>
  <c r="R75" i="23" s="1"/>
  <c r="N74" i="23"/>
  <c r="R74" i="23" s="1"/>
  <c r="V74" i="23" s="1"/>
  <c r="N73" i="23"/>
  <c r="R73" i="23" s="1"/>
  <c r="N72" i="23"/>
  <c r="R72" i="23" s="1"/>
  <c r="X72" i="23" s="1"/>
  <c r="R71" i="23"/>
  <c r="X71" i="23" s="1"/>
  <c r="N71" i="23"/>
  <c r="W70" i="23"/>
  <c r="U70" i="23"/>
  <c r="U69" i="23" s="1"/>
  <c r="S70" i="23"/>
  <c r="S69" i="23" s="1"/>
  <c r="N70" i="23"/>
  <c r="R70" i="23" s="1"/>
  <c r="T70" i="23" s="1"/>
  <c r="L69" i="23"/>
  <c r="N69" i="23" s="1"/>
  <c r="R69" i="23" s="1"/>
  <c r="W68" i="23"/>
  <c r="W67" i="23" s="1"/>
  <c r="U68" i="23"/>
  <c r="U67" i="23" s="1"/>
  <c r="S68" i="23"/>
  <c r="S67" i="23" s="1"/>
  <c r="K68" i="23"/>
  <c r="K67" i="23" s="1"/>
  <c r="N67" i="23" s="1"/>
  <c r="R67" i="23"/>
  <c r="N66" i="23"/>
  <c r="R66" i="23" s="1"/>
  <c r="V66" i="23" s="1"/>
  <c r="N65" i="23"/>
  <c r="R65" i="23" s="1"/>
  <c r="V65" i="23" s="1"/>
  <c r="N64" i="23"/>
  <c r="R64" i="23" s="1"/>
  <c r="N63" i="23"/>
  <c r="R63" i="23" s="1"/>
  <c r="N62" i="23"/>
  <c r="R62" i="23" s="1"/>
  <c r="N61" i="23"/>
  <c r="R61" i="23" s="1"/>
  <c r="N60" i="23"/>
  <c r="R60" i="23" s="1"/>
  <c r="N59" i="23"/>
  <c r="R59" i="23" s="1"/>
  <c r="R58" i="23"/>
  <c r="T58" i="23" s="1"/>
  <c r="N58" i="23"/>
  <c r="N57" i="23"/>
  <c r="R57" i="23" s="1"/>
  <c r="N56" i="23"/>
  <c r="R56" i="23" s="1"/>
  <c r="T56" i="23" s="1"/>
  <c r="N55" i="23"/>
  <c r="R55" i="23" s="1"/>
  <c r="V55" i="23" s="1"/>
  <c r="N54" i="23"/>
  <c r="R54" i="23" s="1"/>
  <c r="W53" i="23"/>
  <c r="W52" i="23" s="1"/>
  <c r="U53" i="23"/>
  <c r="U52" i="23" s="1"/>
  <c r="S53" i="23"/>
  <c r="S52" i="23" s="1"/>
  <c r="L53" i="23"/>
  <c r="W51" i="23"/>
  <c r="U51" i="23"/>
  <c r="U50" i="23" s="1"/>
  <c r="S51" i="23"/>
  <c r="S50" i="23" s="1"/>
  <c r="K51" i="23"/>
  <c r="W50" i="23"/>
  <c r="M50" i="23"/>
  <c r="L50" i="23"/>
  <c r="X49" i="23"/>
  <c r="N49" i="23"/>
  <c r="R49" i="23" s="1"/>
  <c r="V49" i="23" s="1"/>
  <c r="N48" i="23"/>
  <c r="R48" i="23" s="1"/>
  <c r="N47" i="23"/>
  <c r="R47" i="23" s="1"/>
  <c r="V47" i="23" s="1"/>
  <c r="N46" i="23"/>
  <c r="R46" i="23" s="1"/>
  <c r="N45" i="23"/>
  <c r="R45" i="23" s="1"/>
  <c r="V45" i="23" s="1"/>
  <c r="V44" i="23"/>
  <c r="R44" i="23"/>
  <c r="X44" i="23" s="1"/>
  <c r="N44" i="23"/>
  <c r="N43" i="23"/>
  <c r="R43" i="23" s="1"/>
  <c r="N42" i="23"/>
  <c r="R42" i="23" s="1"/>
  <c r="W41" i="23"/>
  <c r="W40" i="23" s="1"/>
  <c r="U41" i="23"/>
  <c r="U40" i="23" s="1"/>
  <c r="S41" i="23"/>
  <c r="S40" i="23" s="1"/>
  <c r="N41" i="23"/>
  <c r="R41" i="23" s="1"/>
  <c r="L40" i="23"/>
  <c r="N39" i="23"/>
  <c r="R39" i="23" s="1"/>
  <c r="X38" i="23"/>
  <c r="N38" i="23"/>
  <c r="R38" i="23" s="1"/>
  <c r="P35" i="23"/>
  <c r="P88" i="23" s="1"/>
  <c r="O35" i="23"/>
  <c r="O88" i="23" s="1"/>
  <c r="M35" i="23"/>
  <c r="R34" i="23"/>
  <c r="T34" i="23" s="1"/>
  <c r="N34" i="23"/>
  <c r="W33" i="23"/>
  <c r="U33" i="23"/>
  <c r="N33" i="23"/>
  <c r="R33" i="23" s="1"/>
  <c r="W32" i="23"/>
  <c r="U32" i="23"/>
  <c r="S32" i="23"/>
  <c r="L32" i="23"/>
  <c r="L35" i="23" s="1"/>
  <c r="W31" i="23"/>
  <c r="U31" i="23"/>
  <c r="S31" i="23"/>
  <c r="R31" i="23"/>
  <c r="T31" i="23" s="1"/>
  <c r="N31" i="23"/>
  <c r="S30" i="23"/>
  <c r="S35" i="23" s="1"/>
  <c r="Q30" i="23"/>
  <c r="Q35" i="23" s="1"/>
  <c r="Q88" i="23" s="1"/>
  <c r="L30" i="23"/>
  <c r="K30" i="23"/>
  <c r="R29" i="23"/>
  <c r="X29" i="23" s="1"/>
  <c r="N29" i="23"/>
  <c r="N28" i="23"/>
  <c r="R28" i="23" s="1"/>
  <c r="N27" i="23"/>
  <c r="R27" i="23" s="1"/>
  <c r="V27" i="23" s="1"/>
  <c r="N26" i="23"/>
  <c r="R26" i="23" s="1"/>
  <c r="N25" i="23"/>
  <c r="R25" i="23" s="1"/>
  <c r="N24" i="23"/>
  <c r="R24" i="23" s="1"/>
  <c r="N23" i="23"/>
  <c r="R23" i="23" s="1"/>
  <c r="X22" i="23"/>
  <c r="N22" i="23"/>
  <c r="R22" i="23" s="1"/>
  <c r="V22" i="23" s="1"/>
  <c r="N21" i="23"/>
  <c r="R21" i="23" s="1"/>
  <c r="N20" i="23"/>
  <c r="R20" i="23" s="1"/>
  <c r="T20" i="23" s="1"/>
  <c r="N19" i="23"/>
  <c r="R19" i="23" s="1"/>
  <c r="X18" i="23"/>
  <c r="T18" i="23"/>
  <c r="N18" i="23"/>
  <c r="R18" i="23" s="1"/>
  <c r="V18" i="23" s="1"/>
  <c r="N17" i="23"/>
  <c r="R17" i="23" s="1"/>
  <c r="N16" i="23"/>
  <c r="R16" i="23" s="1"/>
  <c r="N15" i="23"/>
  <c r="R15" i="23" s="1"/>
  <c r="N14" i="23"/>
  <c r="T39" i="23" l="1"/>
  <c r="X39" i="23"/>
  <c r="V39" i="23"/>
  <c r="T25" i="23"/>
  <c r="V25" i="23"/>
  <c r="X41" i="23"/>
  <c r="V41" i="23"/>
  <c r="X17" i="23"/>
  <c r="V17" i="23"/>
  <c r="X62" i="23"/>
  <c r="V62" i="23"/>
  <c r="V33" i="23"/>
  <c r="X33" i="23"/>
  <c r="T33" i="23"/>
  <c r="X48" i="23"/>
  <c r="V48" i="23"/>
  <c r="T48" i="23"/>
  <c r="V23" i="23"/>
  <c r="T23" i="23"/>
  <c r="X23" i="23"/>
  <c r="N81" i="23"/>
  <c r="R81" i="23" s="1"/>
  <c r="N32" i="23"/>
  <c r="R32" i="23" s="1"/>
  <c r="T32" i="23" s="1"/>
  <c r="T45" i="23"/>
  <c r="X45" i="23"/>
  <c r="T55" i="23"/>
  <c r="X55" i="23"/>
  <c r="V29" i="23"/>
  <c r="X65" i="23"/>
  <c r="X74" i="23"/>
  <c r="V71" i="23"/>
  <c r="V58" i="23"/>
  <c r="X58" i="23"/>
  <c r="X85" i="23"/>
  <c r="V85" i="23"/>
  <c r="T85" i="23"/>
  <c r="X16" i="23"/>
  <c r="V16" i="23"/>
  <c r="T16" i="23"/>
  <c r="X19" i="23"/>
  <c r="V19" i="23"/>
  <c r="T19" i="23"/>
  <c r="X59" i="23"/>
  <c r="V59" i="23"/>
  <c r="T59" i="23"/>
  <c r="X46" i="23"/>
  <c r="V46" i="23"/>
  <c r="T46" i="23"/>
  <c r="S88" i="23"/>
  <c r="X66" i="23"/>
  <c r="T66" i="23"/>
  <c r="T74" i="23"/>
  <c r="S87" i="23"/>
  <c r="X67" i="23"/>
  <c r="V67" i="23"/>
  <c r="T67" i="23"/>
  <c r="X75" i="23"/>
  <c r="V75" i="23"/>
  <c r="T75" i="23"/>
  <c r="X28" i="23"/>
  <c r="V28" i="23"/>
  <c r="T28" i="23"/>
  <c r="U30" i="23"/>
  <c r="V70" i="23"/>
  <c r="V31" i="23"/>
  <c r="X61" i="23"/>
  <c r="V61" i="23"/>
  <c r="T61" i="23"/>
  <c r="W69" i="23"/>
  <c r="W87" i="23" s="1"/>
  <c r="X70" i="23"/>
  <c r="W30" i="23"/>
  <c r="X31" i="23"/>
  <c r="X56" i="23"/>
  <c r="V56" i="23"/>
  <c r="K35" i="23"/>
  <c r="N30" i="23"/>
  <c r="R30" i="23" s="1"/>
  <c r="V20" i="23"/>
  <c r="X20" i="23"/>
  <c r="L52" i="23"/>
  <c r="N52" i="23" s="1"/>
  <c r="R52" i="23" s="1"/>
  <c r="N53" i="23"/>
  <c r="R53" i="23" s="1"/>
  <c r="X63" i="23"/>
  <c r="V63" i="23"/>
  <c r="T63" i="23"/>
  <c r="V69" i="23"/>
  <c r="X69" i="23"/>
  <c r="T69" i="23"/>
  <c r="V82" i="23"/>
  <c r="T82" i="23"/>
  <c r="X82" i="23"/>
  <c r="X42" i="23"/>
  <c r="T42" i="23"/>
  <c r="X21" i="23"/>
  <c r="V21" i="23"/>
  <c r="T21" i="23"/>
  <c r="V42" i="23"/>
  <c r="X64" i="23"/>
  <c r="V64" i="23"/>
  <c r="T64" i="23"/>
  <c r="V78" i="23"/>
  <c r="X26" i="23"/>
  <c r="V26" i="23"/>
  <c r="X43" i="23"/>
  <c r="V43" i="23"/>
  <c r="T43" i="23"/>
  <c r="U87" i="23"/>
  <c r="X54" i="23"/>
  <c r="V54" i="23"/>
  <c r="T54" i="23"/>
  <c r="X78" i="23"/>
  <c r="X83" i="23"/>
  <c r="V83" i="23"/>
  <c r="T83" i="23"/>
  <c r="T26" i="23"/>
  <c r="N40" i="23"/>
  <c r="X79" i="23"/>
  <c r="V79" i="23"/>
  <c r="T79" i="23"/>
  <c r="X27" i="23"/>
  <c r="T27" i="23"/>
  <c r="T49" i="23"/>
  <c r="X73" i="23"/>
  <c r="V73" i="23"/>
  <c r="T73" i="23"/>
  <c r="V24" i="23"/>
  <c r="T24" i="23"/>
  <c r="X60" i="23"/>
  <c r="T60" i="23"/>
  <c r="V77" i="23"/>
  <c r="T77" i="23"/>
  <c r="N35" i="23"/>
  <c r="X24" i="23"/>
  <c r="V32" i="23"/>
  <c r="V60" i="23"/>
  <c r="R14" i="23"/>
  <c r="V34" i="23"/>
  <c r="V57" i="23"/>
  <c r="T57" i="23"/>
  <c r="X86" i="23"/>
  <c r="T86" i="23"/>
  <c r="X34" i="23"/>
  <c r="V38" i="23"/>
  <c r="T38" i="23"/>
  <c r="T47" i="23"/>
  <c r="X57" i="23"/>
  <c r="T72" i="23"/>
  <c r="V86" i="23"/>
  <c r="X47" i="23"/>
  <c r="V72" i="23"/>
  <c r="X77" i="23"/>
  <c r="X15" i="23"/>
  <c r="T15" i="23"/>
  <c r="T22" i="23"/>
  <c r="X25" i="23"/>
  <c r="X32" i="23"/>
  <c r="T41" i="23"/>
  <c r="T65" i="23"/>
  <c r="N68" i="23"/>
  <c r="R68" i="23" s="1"/>
  <c r="V81" i="23"/>
  <c r="V15" i="23"/>
  <c r="N51" i="23"/>
  <c r="R51" i="23" s="1"/>
  <c r="K50" i="23"/>
  <c r="X84" i="23"/>
  <c r="T84" i="23"/>
  <c r="T17" i="23"/>
  <c r="T29" i="23"/>
  <c r="T44" i="23"/>
  <c r="T62" i="23"/>
  <c r="T71" i="23"/>
  <c r="L76" i="23"/>
  <c r="N76" i="23" s="1"/>
  <c r="R76" i="23" s="1"/>
  <c r="M80" i="23"/>
  <c r="T81" i="23" l="1"/>
  <c r="X81" i="23"/>
  <c r="L87" i="23"/>
  <c r="L88" i="23" s="1"/>
  <c r="T76" i="23"/>
  <c r="X76" i="23"/>
  <c r="V76" i="23"/>
  <c r="R40" i="23"/>
  <c r="X68" i="23"/>
  <c r="V68" i="23"/>
  <c r="T68" i="23"/>
  <c r="M87" i="23"/>
  <c r="M88" i="23" s="1"/>
  <c r="N80" i="23"/>
  <c r="R80" i="23" s="1"/>
  <c r="W35" i="23"/>
  <c r="W88" i="23" s="1"/>
  <c r="V30" i="23"/>
  <c r="X30" i="23"/>
  <c r="T30" i="23"/>
  <c r="K87" i="23"/>
  <c r="N50" i="23"/>
  <c r="R50" i="23" s="1"/>
  <c r="X53" i="23"/>
  <c r="V53" i="23"/>
  <c r="T53" i="23"/>
  <c r="K88" i="23"/>
  <c r="R35" i="23"/>
  <c r="X14" i="23"/>
  <c r="V14" i="23"/>
  <c r="T14" i="23"/>
  <c r="T52" i="23"/>
  <c r="X52" i="23"/>
  <c r="V52" i="23"/>
  <c r="X51" i="23"/>
  <c r="V51" i="23"/>
  <c r="T51" i="23"/>
  <c r="U35" i="23"/>
  <c r="U88" i="23" s="1"/>
  <c r="X80" i="23" l="1"/>
  <c r="V80" i="23"/>
  <c r="T80" i="23"/>
  <c r="X50" i="23"/>
  <c r="V50" i="23"/>
  <c r="T50" i="23"/>
  <c r="N87" i="23"/>
  <c r="N88" i="23" s="1"/>
  <c r="T40" i="23"/>
  <c r="X40" i="23"/>
  <c r="V40" i="23"/>
  <c r="R87" i="23"/>
  <c r="R88" i="23" s="1"/>
  <c r="T35" i="23"/>
  <c r="X35" i="23"/>
  <c r="V35" i="23"/>
  <c r="T88" i="23" l="1"/>
  <c r="X88" i="23"/>
  <c r="V88" i="23"/>
  <c r="V87" i="23"/>
  <c r="T87" i="23"/>
  <c r="X87" i="23"/>
</calcChain>
</file>

<file path=xl/sharedStrings.xml><?xml version="1.0" encoding="utf-8"?>
<sst xmlns="http://schemas.openxmlformats.org/spreadsheetml/2006/main" count="690" uniqueCount="134">
  <si>
    <t>ANEXO II</t>
  </si>
  <si>
    <t>Sigla: TJAM</t>
  </si>
  <si>
    <t>Nome do Órgão: TRIBUNAL DE JUSTIÇA DO AMAZONAS</t>
  </si>
  <si>
    <t>Responsável pela Informação: SECRETÁRIO DE ORÇAMENTO E FINANÇAS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</si>
  <si>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</si>
  <si>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</si>
  <si>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</si>
  <si>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</si>
  <si>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</si>
  <si>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</si>
  <si>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</si>
  <si>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</si>
  <si>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</si>
  <si>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</si>
  <si>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</si>
  <si>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</si>
  <si>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</si>
  <si>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</si>
  <si>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</si>
  <si>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</si>
  <si>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</si>
  <si>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</si>
  <si>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</si>
  <si>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</si>
  <si>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</si>
  <si>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</si>
  <si>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</si>
  <si>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</si>
  <si>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</si>
  <si>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</si>
  <si>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</si>
  <si>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</si>
  <si>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</si>
  <si>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</si>
  <si>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</si>
  <si>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</si>
  <si>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</si>
  <si>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</si>
  <si>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</si>
  <si>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</si>
  <si>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</si>
  <si>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</si>
  <si>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</si>
  <si>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</si>
  <si>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</si>
  <si>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</si>
  <si>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</si>
  <si>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</si>
  <si>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</si>
  <si>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Julgamento de Causas na Justiça Estadual do 1° Grau</t>
  </si>
  <si>
    <t>1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</si>
  <si>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</si>
  <si>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</si>
  <si>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</si>
  <si>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</si>
  <si>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</si>
  <si>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</si>
  <si>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</si>
  <si>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</si>
  <si>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</si>
  <si>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</si>
  <si>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</si>
  <si>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</si>
  <si>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</si>
  <si>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</si>
  <si>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</si>
  <si>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</si>
  <si>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</si>
  <si>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</si>
  <si>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</si>
  <si>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</si>
  <si>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</si>
  <si>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</si>
  <si>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</si>
  <si>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</si>
  <si>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</si>
  <si>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</si>
  <si>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</si>
  <si>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</si>
  <si>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</si>
  <si>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3290/1475.0011</t>
  </si>
  <si>
    <t>3290/1476.0001</t>
  </si>
  <si>
    <t>3290/1477.0001</t>
  </si>
  <si>
    <t>Julgamento de Causas na Justiça Estadual do 1º Grau</t>
  </si>
  <si>
    <t>Benefícios aos Servidores do 1. Grau</t>
  </si>
  <si>
    <t>3291/1478.0001</t>
  </si>
  <si>
    <t>Construção de Unidades Jurisdicionais do 2. Grau.</t>
  </si>
  <si>
    <t>3291/1479.0001</t>
  </si>
  <si>
    <t>3291/1480.0011</t>
  </si>
  <si>
    <t>Reforma das Unidades Jurisdicionais do 2º Grau</t>
  </si>
  <si>
    <t>3291/1480.0001</t>
  </si>
  <si>
    <t>3291/2565.0001</t>
  </si>
  <si>
    <t>Julgamento de Causas na Justiça Estadual do 2º Grau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</si>
  <si>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</si>
  <si>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</si>
  <si>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</si>
  <si>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</si>
  <si>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</si>
  <si>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</si>
  <si>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</si>
  <si>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</si>
  <si>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</si>
  <si>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</si>
  <si>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</si>
  <si>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</si>
  <si>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</si>
  <si>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NELIA CAMINHA JORGE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</si>
  <si>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</si>
  <si>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</si>
  <si>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</si>
  <si>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</si>
  <si>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</si>
  <si>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1.759.285.0.0000.0000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</si>
  <si>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</si>
  <si>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</si>
  <si>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</si>
  <si>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</si>
  <si>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</si>
  <si>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</si>
  <si>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</si>
  <si>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3290/1475.0005</t>
  </si>
  <si>
    <t>2.759.201.0.0000.0000</t>
  </si>
  <si>
    <t>Recursos Vinculados a Fundos - Outras Fontes</t>
  </si>
  <si>
    <t>2.759.285.0.0000.0000</t>
  </si>
  <si>
    <t xml:space="preserve">  </t>
  </si>
  <si>
    <t>3290/1476.0003</t>
  </si>
  <si>
    <t>Implantação do Programa de Segurança no 2. Grau</t>
  </si>
  <si>
    <t>2.500.100.0.0000.0000</t>
  </si>
  <si>
    <t>3290.2563.0001</t>
  </si>
  <si>
    <t>3291.2744.0001</t>
  </si>
  <si>
    <t>Construção de Unidades Jurisdicionais do 1° Grau</t>
  </si>
  <si>
    <t>Implantação do Programa de Segurança no 1° grau</t>
  </si>
  <si>
    <t>Mês de Referência: 12/2023</t>
  </si>
  <si>
    <t>Data da Publicação: 20/01/2024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</si>
</sst>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9" x14ac:knownFonts="1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EFEFEF"/>
        <bgColor rgb="FFEFEFEF"/>
      </patternFill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</fills>
  <borders count="1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horizontal="center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4" fillId="0" borderId="0" xfId="0" applyNumberFormat="1" applyFont="1"/>
    <xf numFmtId="0" fontId="3" fillId="5" borderId="11" xfId="0" applyFont="1" applyFill="1" applyBorder="1" applyAlignment="1">
      <alignment horizontal="center" vertical="center" wrapText="1"/>
    </xf>
    <xf numFmtId="166" fontId="3" fillId="5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166" fontId="3" fillId="8" borderId="11" xfId="0" applyNumberFormat="1" applyFont="1" applyFill="1" applyBorder="1" applyAlignment="1">
      <alignment horizontal="right" vertical="center"/>
    </xf>
    <xf numFmtId="4" fontId="6" fillId="9" borderId="11" xfId="0" applyNumberFormat="1" applyFont="1" applyFill="1" applyBorder="1" applyAlignment="1">
      <alignment horizontal="center" vertical="center" wrapText="1"/>
    </xf>
    <xf numFmtId="164" fontId="6" fillId="9" borderId="11" xfId="0" applyNumberFormat="1" applyFont="1" applyFill="1" applyBorder="1" applyAlignment="1">
      <alignment horizontal="center" vertical="center"/>
    </xf>
    <xf numFmtId="0" fontId="8" fillId="2" borderId="13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4" xfId="0" applyFont="1" applyFill="1" applyBorder="1"/>
    <xf numFmtId="0" fontId="5" fillId="2" borderId="14" xfId="0" applyFont="1" applyFill="1" applyBorder="1"/>
    <xf numFmtId="0" fontId="4" fillId="0" borderId="0" xfId="0" applyFont="1" applyAlignment="1">
      <alignment horizontal="center" vertical="center"/>
    </xf>
    <xf numFmtId="4" fontId="3" fillId="2" borderId="4" xfId="0" applyNumberFormat="1" applyFont="1" applyFill="1" applyBorder="1"/>
    <xf numFmtId="0" fontId="3" fillId="2" borderId="16" xfId="0" applyFont="1" applyFill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8" borderId="11" xfId="0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right" vertical="center"/>
    </xf>
    <xf numFmtId="166" fontId="3" fillId="10" borderId="11" xfId="0" applyNumberFormat="1" applyFont="1" applyFill="1" applyBorder="1" applyAlignment="1">
      <alignment horizontal="right" vertical="center"/>
    </xf>
    <xf numFmtId="0" fontId="3" fillId="11" borderId="11" xfId="0" applyFont="1" applyFill="1" applyBorder="1" applyAlignment="1">
      <alignment horizontal="center" vertical="center" wrapText="1"/>
    </xf>
    <xf numFmtId="166" fontId="3" fillId="11" borderId="11" xfId="0" applyNumberFormat="1" applyFont="1" applyFill="1" applyBorder="1" applyAlignment="1">
      <alignment horizontal="right" vertical="center"/>
    </xf>
    <xf numFmtId="0" fontId="3" fillId="1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Alignment="1">
      <alignment horizontal="center"/>
    </xf>
    <xf numFmtId="0" fontId="0" fillId="0" borderId="0" xfId="0"/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  <pageSetUpPr fitToPage="1"/>
  </sheetPr>
  <dimension ref="A1:AA982"/>
  <sheetViews>
    <sheetView tabSelected="1" zoomScale="112" zoomScaleNormal="112" workbookViewId="0">
      <selection activeCell="J101" sqref="J101"/>
    </sheetView>
  </sheetViews>
  <sheetFormatPr defaultColWidth="12.625" defaultRowHeight="15" customHeight="1" x14ac:dyDescent="0.2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5" width="9.75" customWidth="1"/>
    <col min="16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3.75" customWidth="1"/>
    <col min="26" max="26" width="16.375" customWidth="1"/>
    <col min="27" max="27" width="9.125" customWidth="1"/>
  </cols>
  <sheetData>
    <row r="1" spans="1:27" ht="14.25" customHeight="1" x14ac:dyDescent="0.2">
      <c r="A1" s="63" t="s">
        <v>0</v>
      </c>
      <c r="B1" s="64"/>
      <c r="C1" s="64"/>
      <c r="D1" s="64"/>
      <c r="E1" s="64"/>
      <c r="F1" s="65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 x14ac:dyDescent="0.2">
      <c r="A2" s="66" t="s">
        <v>1</v>
      </c>
      <c r="B2" s="67"/>
      <c r="C2" s="67"/>
      <c r="D2" s="67"/>
      <c r="E2" s="67"/>
      <c r="F2" s="68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 x14ac:dyDescent="0.2">
      <c r="A3" s="66" t="s">
        <v>2</v>
      </c>
      <c r="B3" s="67"/>
      <c r="C3" s="67"/>
      <c r="D3" s="67"/>
      <c r="E3" s="67"/>
      <c r="F3" s="68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 x14ac:dyDescent="0.2">
      <c r="A4" s="63" t="s">
        <v>106</v>
      </c>
      <c r="B4" s="64"/>
      <c r="C4" s="64"/>
      <c r="D4" s="64"/>
      <c r="E4" s="64"/>
      <c r="F4" s="65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 x14ac:dyDescent="0.2">
      <c r="A5" s="6" t="s">
        <v>3</v>
      </c>
      <c r="B5" s="6"/>
      <c r="C5" s="6"/>
      <c r="D5" s="6"/>
      <c r="E5" s="6"/>
      <c r="F5" s="6"/>
      <c r="G5" s="7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 x14ac:dyDescent="0.2">
      <c r="A6" s="63" t="s">
        <v>132</v>
      </c>
      <c r="B6" s="64"/>
      <c r="C6" s="64"/>
      <c r="D6" s="64"/>
      <c r="E6" s="64"/>
      <c r="F6" s="65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 x14ac:dyDescent="0.2">
      <c r="A7" s="63" t="s">
        <v>133</v>
      </c>
      <c r="B7" s="64"/>
      <c r="C7" s="64"/>
      <c r="D7" s="64"/>
      <c r="E7" s="64"/>
      <c r="F7" s="65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 x14ac:dyDescent="0.2">
      <c r="A8" s="79"/>
      <c r="B8" s="70"/>
      <c r="C8" s="70"/>
      <c r="D8" s="70"/>
      <c r="E8" s="70"/>
      <c r="F8" s="70"/>
      <c r="G8" s="1"/>
      <c r="H8" s="2"/>
      <c r="I8" s="2"/>
      <c r="J8" s="55"/>
      <c r="K8" s="1"/>
      <c r="L8" s="1"/>
      <c r="M8" s="1"/>
      <c r="N8" s="1"/>
      <c r="O8" s="1"/>
      <c r="P8" s="1"/>
      <c r="Q8" s="1"/>
      <c r="R8" s="1"/>
      <c r="S8" s="1"/>
      <c r="T8" s="1"/>
      <c r="U8" s="56"/>
      <c r="V8" s="5"/>
      <c r="W8" s="5"/>
      <c r="X8" s="5"/>
      <c r="Y8" s="5"/>
      <c r="Z8" s="5"/>
      <c r="AA8" s="5"/>
    </row>
    <row r="9" spans="1:27" ht="14.25" customHeight="1" x14ac:dyDescent="0.2">
      <c r="A9" s="69" t="s">
        <v>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5"/>
      <c r="Z9" s="5"/>
      <c r="AA9" s="5"/>
    </row>
    <row r="10" spans="1:27" ht="14.25" customHeight="1" x14ac:dyDescent="0.2">
      <c r="A10" s="1"/>
      <c r="B10" s="1"/>
      <c r="C10" s="1"/>
      <c r="D10" s="1"/>
      <c r="E10" s="1"/>
      <c r="F10" s="1"/>
      <c r="G10" s="1"/>
      <c r="H10" s="2"/>
      <c r="I10" s="2"/>
      <c r="J10" s="53"/>
      <c r="K10" s="1"/>
      <c r="L10" s="1"/>
      <c r="M10" s="1"/>
      <c r="N10" s="1"/>
      <c r="O10" s="1"/>
      <c r="P10" s="1"/>
      <c r="Q10" s="1"/>
      <c r="R10" s="1"/>
      <c r="S10" s="1"/>
      <c r="T10" s="1"/>
      <c r="U10" s="54"/>
      <c r="V10" s="1"/>
      <c r="W10" s="8"/>
      <c r="X10" s="1"/>
      <c r="Y10" s="5"/>
      <c r="Z10" s="5"/>
      <c r="AA10" s="5"/>
    </row>
    <row r="11" spans="1:27" ht="14.25" customHeight="1" x14ac:dyDescent="0.2">
      <c r="A11" s="73" t="s">
        <v>5</v>
      </c>
      <c r="B11" s="64"/>
      <c r="C11" s="64"/>
      <c r="D11" s="64"/>
      <c r="E11" s="64"/>
      <c r="F11" s="64"/>
      <c r="G11" s="64"/>
      <c r="H11" s="64"/>
      <c r="I11" s="64"/>
      <c r="J11" s="65"/>
      <c r="K11" s="71" t="s">
        <v>6</v>
      </c>
      <c r="L11" s="73" t="s">
        <v>7</v>
      </c>
      <c r="M11" s="65"/>
      <c r="N11" s="71" t="s">
        <v>8</v>
      </c>
      <c r="O11" s="71" t="s">
        <v>9</v>
      </c>
      <c r="P11" s="73" t="s">
        <v>10</v>
      </c>
      <c r="Q11" s="65"/>
      <c r="R11" s="71" t="s">
        <v>11</v>
      </c>
      <c r="S11" s="73" t="s">
        <v>12</v>
      </c>
      <c r="T11" s="64"/>
      <c r="U11" s="64"/>
      <c r="V11" s="64"/>
      <c r="W11" s="64"/>
      <c r="X11" s="65"/>
      <c r="Y11" s="5"/>
      <c r="Z11" s="5"/>
      <c r="AA11" s="5"/>
    </row>
    <row r="12" spans="1:27" ht="14.25" customHeight="1" x14ac:dyDescent="0.2">
      <c r="A12" s="73" t="s">
        <v>13</v>
      </c>
      <c r="B12" s="65"/>
      <c r="C12" s="71" t="s">
        <v>14</v>
      </c>
      <c r="D12" s="71" t="s">
        <v>15</v>
      </c>
      <c r="E12" s="73" t="s">
        <v>16</v>
      </c>
      <c r="F12" s="65"/>
      <c r="G12" s="71" t="s">
        <v>17</v>
      </c>
      <c r="H12" s="73" t="s">
        <v>18</v>
      </c>
      <c r="I12" s="65"/>
      <c r="J12" s="74" t="s">
        <v>19</v>
      </c>
      <c r="K12" s="72"/>
      <c r="L12" s="9" t="s">
        <v>20</v>
      </c>
      <c r="M12" s="9" t="s">
        <v>21</v>
      </c>
      <c r="N12" s="72"/>
      <c r="O12" s="72"/>
      <c r="P12" s="10" t="s">
        <v>22</v>
      </c>
      <c r="Q12" s="10" t="s">
        <v>23</v>
      </c>
      <c r="R12" s="72"/>
      <c r="S12" s="11" t="s">
        <v>24</v>
      </c>
      <c r="T12" s="12" t="s">
        <v>25</v>
      </c>
      <c r="U12" s="11" t="s">
        <v>26</v>
      </c>
      <c r="V12" s="13" t="s">
        <v>25</v>
      </c>
      <c r="W12" s="14" t="s">
        <v>27</v>
      </c>
      <c r="X12" s="13" t="s">
        <v>25</v>
      </c>
      <c r="Y12" s="5"/>
      <c r="Z12" s="5"/>
      <c r="AA12" s="5"/>
    </row>
    <row r="13" spans="1:27" ht="31.5" customHeight="1" x14ac:dyDescent="0.2">
      <c r="A13" s="11" t="s">
        <v>28</v>
      </c>
      <c r="B13" s="11" t="s">
        <v>16</v>
      </c>
      <c r="C13" s="72"/>
      <c r="D13" s="72"/>
      <c r="E13" s="10" t="s">
        <v>29</v>
      </c>
      <c r="F13" s="10" t="s">
        <v>30</v>
      </c>
      <c r="G13" s="72"/>
      <c r="H13" s="10" t="s">
        <v>28</v>
      </c>
      <c r="I13" s="10" t="s">
        <v>16</v>
      </c>
      <c r="J13" s="72"/>
      <c r="K13" s="11" t="s">
        <v>31</v>
      </c>
      <c r="L13" s="10" t="s">
        <v>32</v>
      </c>
      <c r="M13" s="10" t="s">
        <v>33</v>
      </c>
      <c r="N13" s="10" t="s">
        <v>34</v>
      </c>
      <c r="O13" s="10" t="s">
        <v>35</v>
      </c>
      <c r="P13" s="10" t="s">
        <v>36</v>
      </c>
      <c r="Q13" s="10" t="s">
        <v>37</v>
      </c>
      <c r="R13" s="11" t="s">
        <v>38</v>
      </c>
      <c r="S13" s="15" t="s">
        <v>39</v>
      </c>
      <c r="T13" s="16" t="s">
        <v>40</v>
      </c>
      <c r="U13" s="15" t="s">
        <v>41</v>
      </c>
      <c r="V13" s="16" t="s">
        <v>42</v>
      </c>
      <c r="W13" s="14" t="s">
        <v>43</v>
      </c>
      <c r="X13" s="16" t="s">
        <v>44</v>
      </c>
      <c r="Y13" s="5"/>
      <c r="Z13" s="5"/>
      <c r="AA13" s="5"/>
    </row>
    <row r="14" spans="1:27" ht="63" customHeight="1" x14ac:dyDescent="0.2">
      <c r="A14" s="17" t="s">
        <v>45</v>
      </c>
      <c r="B14" s="28" t="s">
        <v>46</v>
      </c>
      <c r="C14" s="28" t="s">
        <v>47</v>
      </c>
      <c r="D14" s="28" t="s">
        <v>48</v>
      </c>
      <c r="E14" s="28" t="s">
        <v>78</v>
      </c>
      <c r="F14" s="28" t="s">
        <v>49</v>
      </c>
      <c r="G14" s="28" t="s">
        <v>50</v>
      </c>
      <c r="H14" s="28" t="s">
        <v>107</v>
      </c>
      <c r="I14" s="28" t="s">
        <v>114</v>
      </c>
      <c r="J14" s="57">
        <v>3</v>
      </c>
      <c r="K14" s="30">
        <v>2000000</v>
      </c>
      <c r="L14" s="20">
        <v>631198.02</v>
      </c>
      <c r="M14" s="20">
        <v>2000000</v>
      </c>
      <c r="N14" s="21">
        <f t="shared" ref="N14:N34" si="0">K14+L14-M14</f>
        <v>631198.02</v>
      </c>
      <c r="O14" s="22"/>
      <c r="P14" s="22"/>
      <c r="Q14" s="22"/>
      <c r="R14" s="21">
        <f t="shared" ref="R14:R34" si="1">N14-O14+P14+Q14</f>
        <v>631198.02</v>
      </c>
      <c r="S14" s="20">
        <v>631198.02</v>
      </c>
      <c r="T14" s="23">
        <f t="shared" ref="T14:T35" si="2">IF(R14&gt;0,S14/R14,0)</f>
        <v>1</v>
      </c>
      <c r="U14" s="42">
        <v>631198.02</v>
      </c>
      <c r="V14" s="23">
        <f t="shared" ref="V14:V35" si="3">IF(R14&gt;0,U14/R14,0)</f>
        <v>1</v>
      </c>
      <c r="W14" s="20">
        <v>631198.02</v>
      </c>
      <c r="X14" s="23">
        <f t="shared" ref="X14:X35" si="4">IF(R14&gt;0,W14/R14,0)</f>
        <v>1</v>
      </c>
      <c r="Y14" s="5"/>
      <c r="Z14" s="5"/>
      <c r="AA14" s="5"/>
    </row>
    <row r="15" spans="1:27" ht="63" customHeight="1" x14ac:dyDescent="0.2">
      <c r="A15" s="17" t="s">
        <v>45</v>
      </c>
      <c r="B15" s="28" t="s">
        <v>46</v>
      </c>
      <c r="C15" s="28" t="s">
        <v>47</v>
      </c>
      <c r="D15" s="28" t="s">
        <v>51</v>
      </c>
      <c r="E15" s="28" t="s">
        <v>78</v>
      </c>
      <c r="F15" s="28" t="s">
        <v>52</v>
      </c>
      <c r="G15" s="28" t="s">
        <v>50</v>
      </c>
      <c r="H15" s="28" t="s">
        <v>107</v>
      </c>
      <c r="I15" s="28" t="s">
        <v>114</v>
      </c>
      <c r="J15" s="57">
        <v>3</v>
      </c>
      <c r="K15" s="30">
        <v>76324000</v>
      </c>
      <c r="L15" s="20">
        <v>18144192.489999998</v>
      </c>
      <c r="M15" s="20">
        <v>1744704.06</v>
      </c>
      <c r="N15" s="21">
        <f t="shared" si="0"/>
        <v>92723488.429999992</v>
      </c>
      <c r="O15" s="58"/>
      <c r="P15" s="22"/>
      <c r="Q15" s="22"/>
      <c r="R15" s="21">
        <f t="shared" si="1"/>
        <v>92723488.429999992</v>
      </c>
      <c r="S15" s="20">
        <v>92723488.430000007</v>
      </c>
      <c r="T15" s="23">
        <f t="shared" si="2"/>
        <v>1.0000000000000002</v>
      </c>
      <c r="U15" s="42">
        <v>92723488.430000007</v>
      </c>
      <c r="V15" s="23">
        <f t="shared" si="3"/>
        <v>1.0000000000000002</v>
      </c>
      <c r="W15" s="20">
        <v>92723488.430000007</v>
      </c>
      <c r="X15" s="23">
        <f t="shared" si="4"/>
        <v>1.0000000000000002</v>
      </c>
      <c r="Y15" s="25"/>
      <c r="Z15" s="5"/>
      <c r="AA15" s="5"/>
    </row>
    <row r="16" spans="1:27" ht="63" customHeight="1" x14ac:dyDescent="0.2">
      <c r="A16" s="17" t="s">
        <v>45</v>
      </c>
      <c r="B16" s="28" t="s">
        <v>46</v>
      </c>
      <c r="C16" s="28" t="s">
        <v>47</v>
      </c>
      <c r="D16" s="28" t="s">
        <v>51</v>
      </c>
      <c r="E16" s="28" t="s">
        <v>78</v>
      </c>
      <c r="F16" s="28" t="s">
        <v>52</v>
      </c>
      <c r="G16" s="28" t="s">
        <v>50</v>
      </c>
      <c r="H16" s="28" t="s">
        <v>127</v>
      </c>
      <c r="I16" s="28" t="s">
        <v>114</v>
      </c>
      <c r="J16" s="60">
        <v>3</v>
      </c>
      <c r="K16" s="30">
        <v>0</v>
      </c>
      <c r="L16" s="20">
        <v>36325765.810000002</v>
      </c>
      <c r="M16" s="20">
        <v>0</v>
      </c>
      <c r="N16" s="21">
        <f t="shared" si="0"/>
        <v>36325765.810000002</v>
      </c>
      <c r="O16" s="22"/>
      <c r="P16" s="22"/>
      <c r="Q16" s="22"/>
      <c r="R16" s="21">
        <f t="shared" si="1"/>
        <v>36325765.810000002</v>
      </c>
      <c r="S16" s="20">
        <v>36325765.810000002</v>
      </c>
      <c r="T16" s="23">
        <f t="shared" si="2"/>
        <v>1</v>
      </c>
      <c r="U16" s="61">
        <v>36325765.810000002</v>
      </c>
      <c r="V16" s="23">
        <f t="shared" si="3"/>
        <v>1</v>
      </c>
      <c r="W16" s="20">
        <v>36325765.810000002</v>
      </c>
      <c r="X16" s="23">
        <f t="shared" si="4"/>
        <v>1</v>
      </c>
      <c r="Y16" s="5"/>
      <c r="Z16" s="5"/>
      <c r="AA16" s="5"/>
    </row>
    <row r="17" spans="1:27" ht="63" customHeight="1" x14ac:dyDescent="0.2">
      <c r="A17" s="17" t="s">
        <v>45</v>
      </c>
      <c r="B17" s="28" t="s">
        <v>46</v>
      </c>
      <c r="C17" s="28" t="s">
        <v>47</v>
      </c>
      <c r="D17" s="28" t="s">
        <v>53</v>
      </c>
      <c r="E17" s="28" t="s">
        <v>78</v>
      </c>
      <c r="F17" s="28" t="s">
        <v>54</v>
      </c>
      <c r="G17" s="28" t="s">
        <v>50</v>
      </c>
      <c r="H17" s="28" t="s">
        <v>107</v>
      </c>
      <c r="I17" s="28" t="s">
        <v>114</v>
      </c>
      <c r="J17" s="26">
        <v>1</v>
      </c>
      <c r="K17" s="30">
        <v>461873000</v>
      </c>
      <c r="L17" s="20">
        <v>57827952.020000003</v>
      </c>
      <c r="M17" s="20">
        <v>49123589.799999997</v>
      </c>
      <c r="N17" s="21">
        <f t="shared" si="0"/>
        <v>470577362.21999997</v>
      </c>
      <c r="O17" s="22"/>
      <c r="P17" s="22"/>
      <c r="Q17" s="22"/>
      <c r="R17" s="21">
        <f t="shared" si="1"/>
        <v>470577362.21999997</v>
      </c>
      <c r="S17" s="20">
        <v>470572060.16000003</v>
      </c>
      <c r="T17" s="23">
        <f t="shared" si="2"/>
        <v>0.99998873286216972</v>
      </c>
      <c r="U17" s="27">
        <v>470572060.16000003</v>
      </c>
      <c r="V17" s="23">
        <f t="shared" si="3"/>
        <v>0.99998873286216972</v>
      </c>
      <c r="W17" s="20">
        <v>469284715.93000001</v>
      </c>
      <c r="X17" s="23">
        <f t="shared" si="4"/>
        <v>0.99725306316499851</v>
      </c>
      <c r="Y17" s="5"/>
      <c r="Z17" s="5"/>
      <c r="AA17" s="5"/>
    </row>
    <row r="18" spans="1:27" ht="63" customHeight="1" x14ac:dyDescent="0.2">
      <c r="A18" s="17" t="s">
        <v>45</v>
      </c>
      <c r="B18" s="28" t="s">
        <v>46</v>
      </c>
      <c r="C18" s="28" t="s">
        <v>47</v>
      </c>
      <c r="D18" s="28" t="s">
        <v>128</v>
      </c>
      <c r="E18" s="28" t="s">
        <v>78</v>
      </c>
      <c r="F18" s="28" t="s">
        <v>54</v>
      </c>
      <c r="G18" s="28" t="s">
        <v>50</v>
      </c>
      <c r="H18" s="28" t="s">
        <v>127</v>
      </c>
      <c r="I18" s="28" t="s">
        <v>114</v>
      </c>
      <c r="J18" s="26">
        <v>1</v>
      </c>
      <c r="K18" s="29">
        <v>0</v>
      </c>
      <c r="L18" s="30">
        <v>2515381.7599999998</v>
      </c>
      <c r="M18" s="30">
        <v>0</v>
      </c>
      <c r="N18" s="21">
        <f t="shared" si="0"/>
        <v>2515381.7599999998</v>
      </c>
      <c r="O18" s="31"/>
      <c r="P18" s="31"/>
      <c r="Q18" s="31"/>
      <c r="R18" s="21">
        <f t="shared" si="1"/>
        <v>2515381.7599999998</v>
      </c>
      <c r="S18" s="32">
        <v>2515381.7599999998</v>
      </c>
      <c r="T18" s="23">
        <f t="shared" si="2"/>
        <v>1</v>
      </c>
      <c r="U18" s="27">
        <v>2515381.7599999998</v>
      </c>
      <c r="V18" s="23">
        <f t="shared" si="3"/>
        <v>1</v>
      </c>
      <c r="W18" s="30">
        <v>2515381.7599999998</v>
      </c>
      <c r="X18" s="23">
        <f t="shared" si="4"/>
        <v>1</v>
      </c>
      <c r="Y18" s="5"/>
      <c r="Z18" s="5"/>
      <c r="AA18" s="5"/>
    </row>
    <row r="19" spans="1:27" ht="63" customHeight="1" x14ac:dyDescent="0.2">
      <c r="A19" s="17" t="s">
        <v>45</v>
      </c>
      <c r="B19" s="28" t="s">
        <v>46</v>
      </c>
      <c r="C19" s="28" t="s">
        <v>47</v>
      </c>
      <c r="D19" s="28" t="s">
        <v>55</v>
      </c>
      <c r="E19" s="28" t="s">
        <v>58</v>
      </c>
      <c r="F19" s="28" t="s">
        <v>56</v>
      </c>
      <c r="G19" s="28" t="s">
        <v>50</v>
      </c>
      <c r="H19" s="28" t="s">
        <v>107</v>
      </c>
      <c r="I19" s="28" t="s">
        <v>114</v>
      </c>
      <c r="J19" s="26">
        <v>1</v>
      </c>
      <c r="K19" s="29">
        <v>120000</v>
      </c>
      <c r="L19" s="30">
        <v>0</v>
      </c>
      <c r="M19" s="30">
        <v>39665</v>
      </c>
      <c r="N19" s="31">
        <f t="shared" si="0"/>
        <v>80335</v>
      </c>
      <c r="O19" s="31"/>
      <c r="P19" s="31"/>
      <c r="Q19" s="31"/>
      <c r="R19" s="31">
        <f t="shared" si="1"/>
        <v>80335</v>
      </c>
      <c r="S19" s="32">
        <v>80335</v>
      </c>
      <c r="T19" s="33">
        <f t="shared" si="2"/>
        <v>1</v>
      </c>
      <c r="U19" s="27">
        <v>80335</v>
      </c>
      <c r="V19" s="33">
        <f t="shared" si="3"/>
        <v>1</v>
      </c>
      <c r="W19" s="30">
        <v>80335</v>
      </c>
      <c r="X19" s="33">
        <f t="shared" si="4"/>
        <v>1</v>
      </c>
      <c r="Y19" s="5"/>
      <c r="Z19" s="5"/>
      <c r="AA19" s="5"/>
    </row>
    <row r="20" spans="1:27" ht="63" customHeight="1" x14ac:dyDescent="0.2">
      <c r="A20" s="17" t="s">
        <v>45</v>
      </c>
      <c r="B20" s="28" t="s">
        <v>46</v>
      </c>
      <c r="C20" s="28" t="s">
        <v>47</v>
      </c>
      <c r="D20" s="28" t="s">
        <v>57</v>
      </c>
      <c r="E20" s="28" t="s">
        <v>58</v>
      </c>
      <c r="F20" s="28" t="s">
        <v>59</v>
      </c>
      <c r="G20" s="28" t="s">
        <v>50</v>
      </c>
      <c r="H20" s="28" t="s">
        <v>107</v>
      </c>
      <c r="I20" s="28" t="s">
        <v>114</v>
      </c>
      <c r="J20" s="57">
        <v>3</v>
      </c>
      <c r="K20" s="30">
        <v>21351000</v>
      </c>
      <c r="L20" s="20">
        <v>1160538.78</v>
      </c>
      <c r="M20" s="20">
        <v>114497.04</v>
      </c>
      <c r="N20" s="21">
        <f t="shared" si="0"/>
        <v>22397041.740000002</v>
      </c>
      <c r="O20" s="22"/>
      <c r="P20" s="22"/>
      <c r="Q20" s="22"/>
      <c r="R20" s="21">
        <f t="shared" si="1"/>
        <v>22397041.740000002</v>
      </c>
      <c r="S20" s="20">
        <v>22397041.739999998</v>
      </c>
      <c r="T20" s="23">
        <f t="shared" si="2"/>
        <v>0.99999999999999989</v>
      </c>
      <c r="U20" s="42">
        <v>22397041.739999998</v>
      </c>
      <c r="V20" s="23">
        <f t="shared" si="3"/>
        <v>0.99999999999999989</v>
      </c>
      <c r="W20" s="20">
        <v>22397041.739999998</v>
      </c>
      <c r="X20" s="23">
        <f t="shared" si="4"/>
        <v>0.99999999999999989</v>
      </c>
      <c r="Y20" s="5"/>
      <c r="Z20" s="5"/>
      <c r="AA20" s="5"/>
    </row>
    <row r="21" spans="1:27" ht="63" customHeight="1" x14ac:dyDescent="0.2">
      <c r="A21" s="17" t="s">
        <v>45</v>
      </c>
      <c r="B21" s="28" t="s">
        <v>46</v>
      </c>
      <c r="C21" s="28" t="s">
        <v>47</v>
      </c>
      <c r="D21" s="28" t="s">
        <v>57</v>
      </c>
      <c r="E21" s="28" t="s">
        <v>58</v>
      </c>
      <c r="F21" s="28" t="s">
        <v>59</v>
      </c>
      <c r="G21" s="28" t="s">
        <v>50</v>
      </c>
      <c r="H21" s="28" t="s">
        <v>127</v>
      </c>
      <c r="I21" s="28" t="s">
        <v>114</v>
      </c>
      <c r="J21" s="57">
        <v>3</v>
      </c>
      <c r="K21" s="30">
        <v>0</v>
      </c>
      <c r="L21" s="20">
        <v>16757502.960000001</v>
      </c>
      <c r="M21" s="20">
        <v>0</v>
      </c>
      <c r="N21" s="21">
        <f t="shared" si="0"/>
        <v>16757502.960000001</v>
      </c>
      <c r="O21" s="22"/>
      <c r="P21" s="22"/>
      <c r="Q21" s="22"/>
      <c r="R21" s="21">
        <f t="shared" si="1"/>
        <v>16757502.960000001</v>
      </c>
      <c r="S21" s="20">
        <v>16757502.960000001</v>
      </c>
      <c r="T21" s="23">
        <f t="shared" si="2"/>
        <v>1</v>
      </c>
      <c r="U21" s="42">
        <v>16757502.960000001</v>
      </c>
      <c r="V21" s="23">
        <f t="shared" si="3"/>
        <v>1</v>
      </c>
      <c r="W21" s="20">
        <v>16757502.960000001</v>
      </c>
      <c r="X21" s="23">
        <f t="shared" si="4"/>
        <v>1</v>
      </c>
      <c r="Y21" s="5"/>
      <c r="Z21" s="5"/>
      <c r="AA21" s="5"/>
    </row>
    <row r="22" spans="1:27" ht="63" customHeight="1" x14ac:dyDescent="0.2">
      <c r="A22" s="17" t="s">
        <v>45</v>
      </c>
      <c r="B22" s="28" t="s">
        <v>46</v>
      </c>
      <c r="C22" s="28" t="s">
        <v>47</v>
      </c>
      <c r="D22" s="28" t="s">
        <v>91</v>
      </c>
      <c r="E22" s="28" t="s">
        <v>58</v>
      </c>
      <c r="F22" s="28" t="s">
        <v>108</v>
      </c>
      <c r="G22" s="28" t="s">
        <v>50</v>
      </c>
      <c r="H22" s="28" t="s">
        <v>107</v>
      </c>
      <c r="I22" s="28" t="s">
        <v>114</v>
      </c>
      <c r="J22" s="57">
        <v>3</v>
      </c>
      <c r="K22" s="30">
        <v>475000</v>
      </c>
      <c r="L22" s="20">
        <v>0</v>
      </c>
      <c r="M22" s="20">
        <v>475000</v>
      </c>
      <c r="N22" s="21">
        <f t="shared" si="0"/>
        <v>0</v>
      </c>
      <c r="O22" s="22"/>
      <c r="P22" s="22"/>
      <c r="Q22" s="22"/>
      <c r="R22" s="21">
        <f t="shared" si="1"/>
        <v>0</v>
      </c>
      <c r="S22" s="20">
        <v>0</v>
      </c>
      <c r="T22" s="23">
        <f t="shared" si="2"/>
        <v>0</v>
      </c>
      <c r="U22" s="42">
        <v>0</v>
      </c>
      <c r="V22" s="23">
        <f t="shared" si="3"/>
        <v>0</v>
      </c>
      <c r="W22" s="20">
        <v>0</v>
      </c>
      <c r="X22" s="23">
        <f t="shared" si="4"/>
        <v>0</v>
      </c>
      <c r="Y22" s="5"/>
      <c r="Z22" s="5"/>
      <c r="AA22" s="5"/>
    </row>
    <row r="23" spans="1:27" ht="63" customHeight="1" x14ac:dyDescent="0.2">
      <c r="A23" s="17" t="s">
        <v>45</v>
      </c>
      <c r="B23" s="28" t="s">
        <v>46</v>
      </c>
      <c r="C23" s="28" t="s">
        <v>47</v>
      </c>
      <c r="D23" s="28" t="s">
        <v>60</v>
      </c>
      <c r="E23" s="28" t="s">
        <v>58</v>
      </c>
      <c r="F23" s="28" t="s">
        <v>115</v>
      </c>
      <c r="G23" s="28" t="s">
        <v>50</v>
      </c>
      <c r="H23" s="28" t="s">
        <v>107</v>
      </c>
      <c r="I23" s="28" t="s">
        <v>114</v>
      </c>
      <c r="J23" s="26">
        <v>1</v>
      </c>
      <c r="K23" s="30">
        <v>111000000</v>
      </c>
      <c r="L23" s="20">
        <v>27765173.870000001</v>
      </c>
      <c r="M23" s="20">
        <v>16701362.85</v>
      </c>
      <c r="N23" s="21">
        <f t="shared" si="0"/>
        <v>122063811.02000001</v>
      </c>
      <c r="O23" s="22"/>
      <c r="P23" s="22"/>
      <c r="Q23" s="22"/>
      <c r="R23" s="21">
        <f t="shared" si="1"/>
        <v>122063811.02000001</v>
      </c>
      <c r="S23" s="20">
        <v>122063811.02</v>
      </c>
      <c r="T23" s="23">
        <f t="shared" si="2"/>
        <v>0.99999999999999989</v>
      </c>
      <c r="U23" s="27">
        <v>122063811.02</v>
      </c>
      <c r="V23" s="23">
        <f t="shared" si="3"/>
        <v>0.99999999999999989</v>
      </c>
      <c r="W23" s="20">
        <v>121049241.58</v>
      </c>
      <c r="X23" s="23">
        <f t="shared" si="4"/>
        <v>0.99168820446025741</v>
      </c>
      <c r="Y23" s="5"/>
      <c r="Z23" s="5"/>
      <c r="AA23" s="5"/>
    </row>
    <row r="24" spans="1:27" ht="63" customHeight="1" x14ac:dyDescent="0.2">
      <c r="A24" s="17" t="s">
        <v>45</v>
      </c>
      <c r="B24" s="28" t="s">
        <v>46</v>
      </c>
      <c r="C24" s="28" t="s">
        <v>47</v>
      </c>
      <c r="D24" s="28" t="s">
        <v>60</v>
      </c>
      <c r="E24" s="28" t="s">
        <v>58</v>
      </c>
      <c r="F24" s="28" t="s">
        <v>115</v>
      </c>
      <c r="G24" s="28" t="s">
        <v>50</v>
      </c>
      <c r="H24" s="28" t="s">
        <v>127</v>
      </c>
      <c r="I24" s="28" t="s">
        <v>114</v>
      </c>
      <c r="J24" s="26">
        <v>1</v>
      </c>
      <c r="K24" s="30">
        <v>0</v>
      </c>
      <c r="L24" s="20">
        <v>695640.6</v>
      </c>
      <c r="M24" s="20">
        <v>0</v>
      </c>
      <c r="N24" s="21">
        <f t="shared" si="0"/>
        <v>695640.6</v>
      </c>
      <c r="O24" s="22"/>
      <c r="P24" s="22"/>
      <c r="Q24" s="22"/>
      <c r="R24" s="21">
        <f t="shared" si="1"/>
        <v>695640.6</v>
      </c>
      <c r="S24" s="20">
        <v>695640.6</v>
      </c>
      <c r="T24" s="23">
        <f t="shared" si="2"/>
        <v>1</v>
      </c>
      <c r="U24" s="27">
        <v>695640.6</v>
      </c>
      <c r="V24" s="23">
        <f t="shared" si="3"/>
        <v>1</v>
      </c>
      <c r="W24" s="20">
        <v>695640.6</v>
      </c>
      <c r="X24" s="23">
        <f t="shared" si="4"/>
        <v>1</v>
      </c>
      <c r="Y24" s="5"/>
      <c r="Z24" s="5"/>
      <c r="AA24" s="5"/>
    </row>
    <row r="25" spans="1:27" ht="63" customHeight="1" x14ac:dyDescent="0.2">
      <c r="A25" s="17" t="s">
        <v>45</v>
      </c>
      <c r="B25" s="28" t="s">
        <v>46</v>
      </c>
      <c r="C25" s="28" t="s">
        <v>47</v>
      </c>
      <c r="D25" s="28" t="s">
        <v>61</v>
      </c>
      <c r="E25" s="28" t="s">
        <v>58</v>
      </c>
      <c r="F25" s="28" t="s">
        <v>62</v>
      </c>
      <c r="G25" s="28" t="s">
        <v>50</v>
      </c>
      <c r="H25" s="28" t="s">
        <v>107</v>
      </c>
      <c r="I25" s="28" t="s">
        <v>114</v>
      </c>
      <c r="J25" s="26">
        <v>1</v>
      </c>
      <c r="K25" s="30">
        <v>131100000</v>
      </c>
      <c r="L25" s="20">
        <v>22879903.949999999</v>
      </c>
      <c r="M25" s="20">
        <v>6208803.79</v>
      </c>
      <c r="N25" s="21">
        <f t="shared" si="0"/>
        <v>147771100.16</v>
      </c>
      <c r="O25" s="22"/>
      <c r="P25" s="22"/>
      <c r="Q25" s="22"/>
      <c r="R25" s="21">
        <f t="shared" si="1"/>
        <v>147771100.16</v>
      </c>
      <c r="S25" s="20">
        <v>147763405.61000001</v>
      </c>
      <c r="T25" s="23">
        <f t="shared" si="2"/>
        <v>0.99994792926362697</v>
      </c>
      <c r="U25" s="27">
        <v>147763405.61000001</v>
      </c>
      <c r="V25" s="23">
        <f t="shared" si="3"/>
        <v>0.99994792926362697</v>
      </c>
      <c r="W25" s="20">
        <v>146996567.28</v>
      </c>
      <c r="X25" s="23">
        <f t="shared" si="4"/>
        <v>0.99475856321593759</v>
      </c>
      <c r="Y25" s="5"/>
      <c r="Z25" s="5"/>
      <c r="AA25" s="5"/>
    </row>
    <row r="26" spans="1:27" ht="63" customHeight="1" x14ac:dyDescent="0.2">
      <c r="A26" s="17" t="s">
        <v>45</v>
      </c>
      <c r="B26" s="28" t="s">
        <v>46</v>
      </c>
      <c r="C26" s="28" t="s">
        <v>47</v>
      </c>
      <c r="D26" s="28" t="s">
        <v>129</v>
      </c>
      <c r="E26" s="28" t="s">
        <v>58</v>
      </c>
      <c r="F26" s="28" t="s">
        <v>62</v>
      </c>
      <c r="G26" s="28" t="s">
        <v>50</v>
      </c>
      <c r="H26" s="28" t="s">
        <v>127</v>
      </c>
      <c r="I26" s="28" t="s">
        <v>114</v>
      </c>
      <c r="J26" s="26">
        <v>1</v>
      </c>
      <c r="K26" s="30">
        <v>0</v>
      </c>
      <c r="L26" s="20">
        <v>10925.2</v>
      </c>
      <c r="M26" s="20">
        <v>0</v>
      </c>
      <c r="N26" s="21">
        <f t="shared" si="0"/>
        <v>10925.2</v>
      </c>
      <c r="O26" s="22"/>
      <c r="P26" s="22"/>
      <c r="Q26" s="22"/>
      <c r="R26" s="21">
        <f t="shared" si="1"/>
        <v>10925.2</v>
      </c>
      <c r="S26" s="20">
        <v>10925.19</v>
      </c>
      <c r="T26" s="23">
        <f t="shared" si="2"/>
        <v>0.99999908468494858</v>
      </c>
      <c r="U26" s="27">
        <v>10925.19</v>
      </c>
      <c r="V26" s="23">
        <f t="shared" si="3"/>
        <v>0.99999908468494858</v>
      </c>
      <c r="W26" s="20">
        <v>10925.19</v>
      </c>
      <c r="X26" s="23">
        <f t="shared" si="4"/>
        <v>0.99999908468494858</v>
      </c>
      <c r="Y26" s="5"/>
      <c r="Z26" s="5"/>
      <c r="AA26" s="5"/>
    </row>
    <row r="27" spans="1:27" ht="63" customHeight="1" x14ac:dyDescent="0.2">
      <c r="A27" s="17" t="s">
        <v>45</v>
      </c>
      <c r="B27" s="28" t="s">
        <v>46</v>
      </c>
      <c r="C27" s="28" t="s">
        <v>47</v>
      </c>
      <c r="D27" s="28" t="s">
        <v>63</v>
      </c>
      <c r="E27" s="28" t="s">
        <v>58</v>
      </c>
      <c r="F27" s="28" t="s">
        <v>64</v>
      </c>
      <c r="G27" s="28" t="s">
        <v>50</v>
      </c>
      <c r="H27" s="28" t="s">
        <v>107</v>
      </c>
      <c r="I27" s="28" t="s">
        <v>114</v>
      </c>
      <c r="J27" s="57">
        <v>3</v>
      </c>
      <c r="K27" s="30">
        <v>24100000</v>
      </c>
      <c r="L27" s="20">
        <v>1173408.45</v>
      </c>
      <c r="M27" s="20">
        <v>32718.89</v>
      </c>
      <c r="N27" s="21">
        <f t="shared" si="0"/>
        <v>25240689.559999999</v>
      </c>
      <c r="O27" s="22"/>
      <c r="P27" s="22"/>
      <c r="Q27" s="22"/>
      <c r="R27" s="21">
        <f t="shared" si="1"/>
        <v>25240689.559999999</v>
      </c>
      <c r="S27" s="20">
        <v>25240689.559999999</v>
      </c>
      <c r="T27" s="23">
        <f t="shared" si="2"/>
        <v>1</v>
      </c>
      <c r="U27" s="42">
        <v>25240689.559999999</v>
      </c>
      <c r="V27" s="23">
        <f t="shared" si="3"/>
        <v>1</v>
      </c>
      <c r="W27" s="20">
        <v>25240689.559999999</v>
      </c>
      <c r="X27" s="23">
        <f t="shared" si="4"/>
        <v>1</v>
      </c>
      <c r="Y27" s="5"/>
      <c r="Z27" s="5"/>
      <c r="AA27" s="5"/>
    </row>
    <row r="28" spans="1:27" ht="63" customHeight="1" x14ac:dyDescent="0.2">
      <c r="A28" s="17" t="s">
        <v>45</v>
      </c>
      <c r="B28" s="28" t="s">
        <v>46</v>
      </c>
      <c r="C28" s="28" t="s">
        <v>47</v>
      </c>
      <c r="D28" s="28" t="s">
        <v>63</v>
      </c>
      <c r="E28" s="28" t="s">
        <v>58</v>
      </c>
      <c r="F28" s="28" t="s">
        <v>64</v>
      </c>
      <c r="G28" s="28" t="s">
        <v>50</v>
      </c>
      <c r="H28" s="28" t="s">
        <v>127</v>
      </c>
      <c r="I28" s="28" t="s">
        <v>114</v>
      </c>
      <c r="J28" s="19">
        <v>3</v>
      </c>
      <c r="K28" s="30">
        <v>0</v>
      </c>
      <c r="L28" s="20">
        <v>14822310.92</v>
      </c>
      <c r="M28" s="20">
        <v>0</v>
      </c>
      <c r="N28" s="21">
        <f t="shared" si="0"/>
        <v>14822310.92</v>
      </c>
      <c r="O28" s="22"/>
      <c r="P28" s="22"/>
      <c r="Q28" s="22"/>
      <c r="R28" s="21">
        <f t="shared" si="1"/>
        <v>14822310.92</v>
      </c>
      <c r="S28" s="20">
        <v>14822310.92</v>
      </c>
      <c r="T28" s="23">
        <f t="shared" si="2"/>
        <v>1</v>
      </c>
      <c r="U28" s="24">
        <v>14822310.92</v>
      </c>
      <c r="V28" s="23">
        <f t="shared" si="3"/>
        <v>1</v>
      </c>
      <c r="W28" s="20">
        <v>14822310.92</v>
      </c>
      <c r="X28" s="23">
        <f t="shared" si="4"/>
        <v>1</v>
      </c>
      <c r="Y28" s="5"/>
      <c r="Z28" s="5"/>
      <c r="AA28" s="5"/>
    </row>
    <row r="29" spans="1:27" ht="63" customHeight="1" x14ac:dyDescent="0.2">
      <c r="A29" s="17" t="s">
        <v>45</v>
      </c>
      <c r="B29" s="28" t="s">
        <v>46</v>
      </c>
      <c r="C29" s="28" t="s">
        <v>65</v>
      </c>
      <c r="D29" s="28" t="s">
        <v>66</v>
      </c>
      <c r="E29" s="28" t="s">
        <v>58</v>
      </c>
      <c r="F29" s="28" t="s">
        <v>67</v>
      </c>
      <c r="G29" s="28" t="s">
        <v>50</v>
      </c>
      <c r="H29" s="28" t="s">
        <v>107</v>
      </c>
      <c r="I29" s="28" t="s">
        <v>114</v>
      </c>
      <c r="J29" s="26">
        <v>1</v>
      </c>
      <c r="K29" s="29">
        <v>120000</v>
      </c>
      <c r="L29" s="20">
        <v>113711</v>
      </c>
      <c r="M29" s="20">
        <v>0</v>
      </c>
      <c r="N29" s="21">
        <f t="shared" si="0"/>
        <v>233711</v>
      </c>
      <c r="O29" s="21"/>
      <c r="P29" s="21"/>
      <c r="Q29" s="21"/>
      <c r="R29" s="21">
        <f t="shared" si="1"/>
        <v>233711</v>
      </c>
      <c r="S29" s="30">
        <v>233711</v>
      </c>
      <c r="T29" s="23">
        <f t="shared" si="2"/>
        <v>1</v>
      </c>
      <c r="U29" s="27">
        <v>233711</v>
      </c>
      <c r="V29" s="23">
        <f t="shared" si="3"/>
        <v>1</v>
      </c>
      <c r="W29" s="20">
        <v>233711</v>
      </c>
      <c r="X29" s="23">
        <f t="shared" si="4"/>
        <v>1</v>
      </c>
      <c r="Y29" s="5"/>
      <c r="Z29" s="5"/>
      <c r="AA29" s="5"/>
    </row>
    <row r="30" spans="1:27" ht="63" customHeight="1" x14ac:dyDescent="0.2">
      <c r="A30" s="17" t="s">
        <v>45</v>
      </c>
      <c r="B30" s="28" t="s">
        <v>46</v>
      </c>
      <c r="C30" s="28" t="s">
        <v>68</v>
      </c>
      <c r="D30" s="28" t="s">
        <v>69</v>
      </c>
      <c r="E30" s="28" t="s">
        <v>116</v>
      </c>
      <c r="F30" s="28" t="s">
        <v>70</v>
      </c>
      <c r="G30" s="28" t="s">
        <v>117</v>
      </c>
      <c r="H30" s="28" t="s">
        <v>107</v>
      </c>
      <c r="I30" s="28" t="s">
        <v>114</v>
      </c>
      <c r="J30" s="26">
        <v>1</v>
      </c>
      <c r="K30" s="30">
        <f>115250000-K31</f>
        <v>109500000</v>
      </c>
      <c r="L30" s="20">
        <f>74651601.58-L31</f>
        <v>74587715.719999999</v>
      </c>
      <c r="M30" s="20">
        <v>38299098.789999999</v>
      </c>
      <c r="N30" s="21">
        <f t="shared" si="0"/>
        <v>145788616.93000001</v>
      </c>
      <c r="O30" s="21"/>
      <c r="P30" s="21"/>
      <c r="Q30" s="21">
        <f>-15758614-36297529.98</f>
        <v>-52056143.979999997</v>
      </c>
      <c r="R30" s="21">
        <f t="shared" si="1"/>
        <v>93732472.950000018</v>
      </c>
      <c r="S30" s="20">
        <f>99546358.81-S31</f>
        <v>93732472.950000003</v>
      </c>
      <c r="T30" s="23">
        <f t="shared" si="2"/>
        <v>0.99999999999999989</v>
      </c>
      <c r="U30" s="27">
        <f>99546358.81-U31</f>
        <v>93732472.950000003</v>
      </c>
      <c r="V30" s="23">
        <f t="shared" si="3"/>
        <v>0.99999999999999989</v>
      </c>
      <c r="W30" s="20">
        <f>99546358.81-W31</f>
        <v>93732472.950000003</v>
      </c>
      <c r="X30" s="23">
        <f t="shared" si="4"/>
        <v>0.99999999999999989</v>
      </c>
      <c r="Y30" s="5"/>
      <c r="Z30" s="5"/>
      <c r="AA30" s="5"/>
    </row>
    <row r="31" spans="1:27" ht="63" customHeight="1" x14ac:dyDescent="0.2">
      <c r="A31" s="17" t="s">
        <v>45</v>
      </c>
      <c r="B31" s="28" t="s">
        <v>46</v>
      </c>
      <c r="C31" s="28" t="s">
        <v>68</v>
      </c>
      <c r="D31" s="28" t="s">
        <v>69</v>
      </c>
      <c r="E31" s="28" t="s">
        <v>116</v>
      </c>
      <c r="F31" s="28" t="s">
        <v>70</v>
      </c>
      <c r="G31" s="28" t="s">
        <v>117</v>
      </c>
      <c r="H31" s="28" t="s">
        <v>107</v>
      </c>
      <c r="I31" s="28" t="s">
        <v>114</v>
      </c>
      <c r="J31" s="57">
        <v>3</v>
      </c>
      <c r="K31" s="30">
        <v>5750000</v>
      </c>
      <c r="L31" s="20">
        <v>63885.86</v>
      </c>
      <c r="M31" s="20">
        <v>0</v>
      </c>
      <c r="N31" s="21">
        <f t="shared" si="0"/>
        <v>5813885.8600000003</v>
      </c>
      <c r="O31" s="21"/>
      <c r="P31" s="21"/>
      <c r="Q31" s="21"/>
      <c r="R31" s="21">
        <f t="shared" si="1"/>
        <v>5813885.8600000003</v>
      </c>
      <c r="S31" s="20">
        <f>246217.91+5567667.95</f>
        <v>5813885.8600000003</v>
      </c>
      <c r="T31" s="23">
        <f t="shared" si="2"/>
        <v>1</v>
      </c>
      <c r="U31" s="42">
        <f>246217.91+5567667.95</f>
        <v>5813885.8600000003</v>
      </c>
      <c r="V31" s="23">
        <f t="shared" si="3"/>
        <v>1</v>
      </c>
      <c r="W31" s="20">
        <f>246217.91+5567667.95</f>
        <v>5813885.8600000003</v>
      </c>
      <c r="X31" s="23">
        <f t="shared" si="4"/>
        <v>1</v>
      </c>
      <c r="Y31" s="5"/>
      <c r="Z31" s="5"/>
      <c r="AA31" s="5"/>
    </row>
    <row r="32" spans="1:27" ht="63" customHeight="1" x14ac:dyDescent="0.2">
      <c r="A32" s="17" t="s">
        <v>45</v>
      </c>
      <c r="B32" s="18" t="s">
        <v>46</v>
      </c>
      <c r="C32" s="18" t="s">
        <v>68</v>
      </c>
      <c r="D32" s="18" t="s">
        <v>69</v>
      </c>
      <c r="E32" s="28" t="s">
        <v>116</v>
      </c>
      <c r="F32" s="18" t="s">
        <v>70</v>
      </c>
      <c r="G32" s="28" t="s">
        <v>117</v>
      </c>
      <c r="H32" s="18" t="s">
        <v>127</v>
      </c>
      <c r="I32" s="28" t="s">
        <v>114</v>
      </c>
      <c r="J32" s="26">
        <v>1</v>
      </c>
      <c r="K32" s="20">
        <v>0</v>
      </c>
      <c r="L32" s="20">
        <f>14980917.18-L33</f>
        <v>14841863.59</v>
      </c>
      <c r="M32" s="20">
        <v>0</v>
      </c>
      <c r="N32" s="21">
        <f t="shared" si="0"/>
        <v>14841863.59</v>
      </c>
      <c r="O32" s="21"/>
      <c r="P32" s="21"/>
      <c r="Q32" s="21"/>
      <c r="R32" s="21">
        <f t="shared" si="1"/>
        <v>14841863.59</v>
      </c>
      <c r="S32" s="20">
        <f>14980917.18-S33</f>
        <v>14841863.789999999</v>
      </c>
      <c r="T32" s="23">
        <f t="shared" si="2"/>
        <v>1.0000000134753966</v>
      </c>
      <c r="U32" s="27">
        <f>14980917.18-U33</f>
        <v>14841863.789999999</v>
      </c>
      <c r="V32" s="23">
        <f t="shared" si="3"/>
        <v>1.0000000134753966</v>
      </c>
      <c r="W32" s="20">
        <f>14980917.18-W33</f>
        <v>14841863.789999999</v>
      </c>
      <c r="X32" s="23">
        <f t="shared" si="4"/>
        <v>1.0000000134753966</v>
      </c>
      <c r="Y32" s="5"/>
      <c r="Z32" s="5"/>
      <c r="AA32" s="5"/>
    </row>
    <row r="33" spans="1:27" ht="63" customHeight="1" x14ac:dyDescent="0.2">
      <c r="A33" s="17" t="s">
        <v>45</v>
      </c>
      <c r="B33" s="18" t="s">
        <v>46</v>
      </c>
      <c r="C33" s="18" t="s">
        <v>68</v>
      </c>
      <c r="D33" s="18" t="s">
        <v>69</v>
      </c>
      <c r="E33" s="28" t="s">
        <v>116</v>
      </c>
      <c r="F33" s="18" t="s">
        <v>70</v>
      </c>
      <c r="G33" s="28" t="s">
        <v>117</v>
      </c>
      <c r="H33" s="18" t="s">
        <v>127</v>
      </c>
      <c r="I33" s="28" t="s">
        <v>114</v>
      </c>
      <c r="J33" s="57">
        <v>3</v>
      </c>
      <c r="K33" s="20">
        <v>0</v>
      </c>
      <c r="L33" s="20">
        <v>139053.59</v>
      </c>
      <c r="M33" s="20">
        <v>0</v>
      </c>
      <c r="N33" s="21">
        <f t="shared" si="0"/>
        <v>139053.59</v>
      </c>
      <c r="O33" s="21"/>
      <c r="P33" s="21"/>
      <c r="Q33" s="21"/>
      <c r="R33" s="21">
        <f t="shared" si="1"/>
        <v>139053.59</v>
      </c>
      <c r="S33" s="20">
        <v>139053.39000000001</v>
      </c>
      <c r="T33" s="23">
        <f t="shared" si="2"/>
        <v>0.99999856170559864</v>
      </c>
      <c r="U33" s="61">
        <f>139053.39</f>
        <v>139053.39000000001</v>
      </c>
      <c r="V33" s="23">
        <f t="shared" si="3"/>
        <v>0.99999856170559864</v>
      </c>
      <c r="W33" s="20">
        <f>139053.39</f>
        <v>139053.39000000001</v>
      </c>
      <c r="X33" s="23">
        <f t="shared" si="4"/>
        <v>0.99999856170559864</v>
      </c>
      <c r="Y33" s="5"/>
      <c r="Z33" s="5"/>
      <c r="AA33" s="5"/>
    </row>
    <row r="34" spans="1:27" ht="63" customHeight="1" x14ac:dyDescent="0.2">
      <c r="A34" s="17" t="s">
        <v>45</v>
      </c>
      <c r="B34" s="18" t="s">
        <v>46</v>
      </c>
      <c r="C34" s="18" t="s">
        <v>71</v>
      </c>
      <c r="D34" s="18" t="s">
        <v>72</v>
      </c>
      <c r="E34" s="18" t="s">
        <v>118</v>
      </c>
      <c r="F34" s="18" t="s">
        <v>73</v>
      </c>
      <c r="G34" s="18" t="s">
        <v>50</v>
      </c>
      <c r="H34" s="18" t="s">
        <v>107</v>
      </c>
      <c r="I34" s="28" t="s">
        <v>114</v>
      </c>
      <c r="J34" s="26">
        <v>1</v>
      </c>
      <c r="K34" s="20">
        <v>73000</v>
      </c>
      <c r="L34" s="20">
        <v>0</v>
      </c>
      <c r="M34" s="20">
        <v>35504.04</v>
      </c>
      <c r="N34" s="21">
        <f t="shared" si="0"/>
        <v>37495.96</v>
      </c>
      <c r="O34" s="21"/>
      <c r="P34" s="21"/>
      <c r="Q34" s="21"/>
      <c r="R34" s="21">
        <f t="shared" si="1"/>
        <v>37495.96</v>
      </c>
      <c r="S34" s="20">
        <v>37495.96</v>
      </c>
      <c r="T34" s="23">
        <f t="shared" si="2"/>
        <v>1</v>
      </c>
      <c r="U34" s="27">
        <v>37495.96</v>
      </c>
      <c r="V34" s="23">
        <f t="shared" si="3"/>
        <v>1</v>
      </c>
      <c r="W34" s="20">
        <v>37495.96</v>
      </c>
      <c r="X34" s="23">
        <f t="shared" si="4"/>
        <v>1</v>
      </c>
      <c r="Y34" s="5"/>
      <c r="Z34" s="5"/>
      <c r="AA34" s="5"/>
    </row>
    <row r="35" spans="1:27" ht="16.5" customHeight="1" x14ac:dyDescent="0.2">
      <c r="A35" s="75" t="s">
        <v>74</v>
      </c>
      <c r="B35" s="64"/>
      <c r="C35" s="64"/>
      <c r="D35" s="64"/>
      <c r="E35" s="64"/>
      <c r="F35" s="64"/>
      <c r="G35" s="64"/>
      <c r="H35" s="64"/>
      <c r="I35" s="64"/>
      <c r="J35" s="65"/>
      <c r="K35" s="34">
        <f t="shared" ref="K35:S35" si="5">SUM(K14:K34)</f>
        <v>943786000</v>
      </c>
      <c r="L35" s="34">
        <f t="shared" si="5"/>
        <v>290456124.58999991</v>
      </c>
      <c r="M35" s="34">
        <f t="shared" si="5"/>
        <v>114774944.26000001</v>
      </c>
      <c r="N35" s="34">
        <f t="shared" si="5"/>
        <v>1119467180.3299997</v>
      </c>
      <c r="O35" s="34">
        <f t="shared" si="5"/>
        <v>0</v>
      </c>
      <c r="P35" s="34">
        <f t="shared" si="5"/>
        <v>0</v>
      </c>
      <c r="Q35" s="34">
        <f t="shared" si="5"/>
        <v>-52056143.979999997</v>
      </c>
      <c r="R35" s="34">
        <f t="shared" si="5"/>
        <v>1067411036.3500001</v>
      </c>
      <c r="S35" s="34">
        <f t="shared" si="5"/>
        <v>1067398039.7300001</v>
      </c>
      <c r="T35" s="35">
        <f t="shared" si="2"/>
        <v>0.99998782416561438</v>
      </c>
      <c r="U35" s="34">
        <f>SUM(U14:U34)</f>
        <v>1067398039.7300001</v>
      </c>
      <c r="V35" s="35">
        <f t="shared" si="3"/>
        <v>0.99998782416561438</v>
      </c>
      <c r="W35" s="34">
        <f>SUM(W14:W34)</f>
        <v>1064329287.7300001</v>
      </c>
      <c r="X35" s="35">
        <f t="shared" si="4"/>
        <v>0.99711287543874572</v>
      </c>
      <c r="Y35" s="5"/>
      <c r="Z35" s="5"/>
      <c r="AA35" s="5"/>
    </row>
    <row r="36" spans="1:27" ht="15" customHeigh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4"/>
      <c r="L36" s="34"/>
      <c r="M36" s="34"/>
      <c r="N36" s="34"/>
      <c r="O36" s="34"/>
      <c r="P36" s="34"/>
      <c r="Q36" s="34"/>
      <c r="R36" s="34"/>
      <c r="S36" s="34"/>
      <c r="T36" s="35"/>
      <c r="U36" s="34"/>
      <c r="V36" s="35"/>
      <c r="W36" s="34"/>
      <c r="X36" s="35"/>
      <c r="Y36" s="5"/>
      <c r="Z36" s="5"/>
      <c r="AA36" s="5"/>
    </row>
    <row r="37" spans="1:27" ht="15" customHeight="1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8"/>
      <c r="L37" s="38"/>
      <c r="M37" s="38"/>
      <c r="N37" s="38"/>
      <c r="O37" s="38"/>
      <c r="P37" s="38"/>
      <c r="Q37" s="38"/>
      <c r="R37" s="38"/>
      <c r="S37" s="38"/>
      <c r="T37" s="33"/>
      <c r="U37" s="38"/>
      <c r="V37" s="33"/>
      <c r="W37" s="38"/>
      <c r="X37" s="33"/>
      <c r="Y37" s="5"/>
      <c r="Z37" s="5"/>
      <c r="AA37" s="5"/>
    </row>
    <row r="38" spans="1:27" ht="54" customHeight="1" x14ac:dyDescent="0.2">
      <c r="A38" s="17" t="s">
        <v>75</v>
      </c>
      <c r="B38" s="28" t="s">
        <v>76</v>
      </c>
      <c r="C38" s="28" t="s">
        <v>47</v>
      </c>
      <c r="D38" s="28" t="s">
        <v>77</v>
      </c>
      <c r="E38" s="28" t="s">
        <v>78</v>
      </c>
      <c r="F38" s="28" t="s">
        <v>79</v>
      </c>
      <c r="G38" s="28" t="s">
        <v>50</v>
      </c>
      <c r="H38" s="28" t="s">
        <v>109</v>
      </c>
      <c r="I38" s="28" t="s">
        <v>119</v>
      </c>
      <c r="J38" s="39">
        <v>4</v>
      </c>
      <c r="K38" s="40">
        <v>4000000</v>
      </c>
      <c r="L38" s="20">
        <v>0</v>
      </c>
      <c r="M38" s="20">
        <v>4000000</v>
      </c>
      <c r="N38" s="21">
        <f t="shared" ref="N38:N86" si="6">K38+L38-M38</f>
        <v>0</v>
      </c>
      <c r="O38" s="21"/>
      <c r="P38" s="21"/>
      <c r="Q38" s="21"/>
      <c r="R38" s="21">
        <f t="shared" ref="R38:R86" si="7">N38-O38+P38+Q38</f>
        <v>0</v>
      </c>
      <c r="S38" s="40">
        <v>0</v>
      </c>
      <c r="T38" s="23">
        <f t="shared" ref="T38:T88" si="8">IF(R38&gt;0,S38/R38,0)</f>
        <v>0</v>
      </c>
      <c r="U38" s="41">
        <v>0</v>
      </c>
      <c r="V38" s="23">
        <f t="shared" ref="V38:V88" si="9">IF(R38&gt;0,U38/R38,0)</f>
        <v>0</v>
      </c>
      <c r="W38" s="20">
        <v>0</v>
      </c>
      <c r="X38" s="23">
        <f t="shared" ref="X38:X88" si="10">IF(R38&gt;0,W38/R38,0)</f>
        <v>0</v>
      </c>
      <c r="Y38" s="5"/>
      <c r="Z38" s="5"/>
      <c r="AA38" s="5"/>
    </row>
    <row r="39" spans="1:27" ht="54" customHeight="1" x14ac:dyDescent="0.2">
      <c r="A39" s="17" t="s">
        <v>75</v>
      </c>
      <c r="B39" s="28" t="s">
        <v>76</v>
      </c>
      <c r="C39" s="28" t="s">
        <v>47</v>
      </c>
      <c r="D39" s="28" t="s">
        <v>120</v>
      </c>
      <c r="E39" s="28" t="s">
        <v>78</v>
      </c>
      <c r="F39" s="28" t="s">
        <v>79</v>
      </c>
      <c r="G39" s="28" t="s">
        <v>50</v>
      </c>
      <c r="H39" s="28" t="s">
        <v>121</v>
      </c>
      <c r="I39" s="28" t="s">
        <v>119</v>
      </c>
      <c r="J39" s="57">
        <v>3</v>
      </c>
      <c r="K39" s="40">
        <v>0</v>
      </c>
      <c r="L39" s="20">
        <v>30090</v>
      </c>
      <c r="M39" s="20">
        <v>0</v>
      </c>
      <c r="N39" s="21">
        <f t="shared" si="6"/>
        <v>30090</v>
      </c>
      <c r="O39" s="21"/>
      <c r="P39" s="21"/>
      <c r="Q39" s="21"/>
      <c r="R39" s="21">
        <f t="shared" si="7"/>
        <v>30090</v>
      </c>
      <c r="S39" s="40">
        <v>30090</v>
      </c>
      <c r="T39" s="23">
        <f t="shared" si="8"/>
        <v>1</v>
      </c>
      <c r="U39" s="42">
        <v>30090</v>
      </c>
      <c r="V39" s="23">
        <f t="shared" si="9"/>
        <v>1</v>
      </c>
      <c r="W39" s="20">
        <v>30090</v>
      </c>
      <c r="X39" s="23">
        <f t="shared" si="10"/>
        <v>1</v>
      </c>
      <c r="Y39" s="5"/>
      <c r="Z39" s="5"/>
      <c r="AA39" s="5"/>
    </row>
    <row r="40" spans="1:27" ht="54" customHeight="1" x14ac:dyDescent="0.2">
      <c r="A40" s="17" t="s">
        <v>75</v>
      </c>
      <c r="B40" s="28" t="s">
        <v>76</v>
      </c>
      <c r="C40" s="28" t="s">
        <v>47</v>
      </c>
      <c r="D40" s="28" t="s">
        <v>80</v>
      </c>
      <c r="E40" s="28" t="s">
        <v>78</v>
      </c>
      <c r="F40" s="28" t="s">
        <v>79</v>
      </c>
      <c r="G40" s="28" t="s">
        <v>50</v>
      </c>
      <c r="H40" s="28" t="s">
        <v>109</v>
      </c>
      <c r="I40" s="28" t="s">
        <v>119</v>
      </c>
      <c r="J40" s="57">
        <v>3</v>
      </c>
      <c r="K40" s="29">
        <v>0</v>
      </c>
      <c r="L40" s="20">
        <f>1240518.03-L41</f>
        <v>564822.44000000006</v>
      </c>
      <c r="M40" s="20">
        <v>0</v>
      </c>
      <c r="N40" s="21">
        <f t="shared" si="6"/>
        <v>564822.44000000006</v>
      </c>
      <c r="O40" s="22"/>
      <c r="P40" s="22"/>
      <c r="Q40" s="22"/>
      <c r="R40" s="21">
        <f t="shared" si="7"/>
        <v>564822.44000000006</v>
      </c>
      <c r="S40" s="32">
        <f>1088018.03-S41</f>
        <v>564822.43999999994</v>
      </c>
      <c r="T40" s="23">
        <f t="shared" si="8"/>
        <v>0.99999999999999978</v>
      </c>
      <c r="U40" s="42">
        <f>1088018.03-U41</f>
        <v>564822.43999999994</v>
      </c>
      <c r="V40" s="23">
        <f t="shared" si="9"/>
        <v>0.99999999999999978</v>
      </c>
      <c r="W40" s="20">
        <f>1088018.03-W41</f>
        <v>564822.43999999994</v>
      </c>
      <c r="X40" s="23">
        <f t="shared" si="10"/>
        <v>0.99999999999999978</v>
      </c>
      <c r="Y40" s="5"/>
      <c r="Z40" s="5"/>
      <c r="AA40" s="5"/>
    </row>
    <row r="41" spans="1:27" ht="54" customHeight="1" x14ac:dyDescent="0.2">
      <c r="A41" s="17" t="s">
        <v>75</v>
      </c>
      <c r="B41" s="28" t="s">
        <v>76</v>
      </c>
      <c r="C41" s="28" t="s">
        <v>47</v>
      </c>
      <c r="D41" s="28" t="s">
        <v>80</v>
      </c>
      <c r="E41" s="28" t="s">
        <v>78</v>
      </c>
      <c r="F41" s="28" t="s">
        <v>79</v>
      </c>
      <c r="G41" s="28" t="s">
        <v>50</v>
      </c>
      <c r="H41" s="28" t="s">
        <v>109</v>
      </c>
      <c r="I41" s="28" t="s">
        <v>119</v>
      </c>
      <c r="J41" s="39">
        <v>4</v>
      </c>
      <c r="K41" s="29">
        <v>0</v>
      </c>
      <c r="L41" s="20">
        <v>675695.59</v>
      </c>
      <c r="M41" s="20">
        <v>0</v>
      </c>
      <c r="N41" s="21">
        <f t="shared" si="6"/>
        <v>675695.59</v>
      </c>
      <c r="O41" s="22"/>
      <c r="P41" s="22"/>
      <c r="Q41" s="22"/>
      <c r="R41" s="21">
        <f t="shared" si="7"/>
        <v>675695.59</v>
      </c>
      <c r="S41" s="32">
        <f>152500+370695.59</f>
        <v>523195.59</v>
      </c>
      <c r="T41" s="23">
        <f t="shared" si="8"/>
        <v>0.7743066519051871</v>
      </c>
      <c r="U41" s="41">
        <f>152500+370695.59</f>
        <v>523195.59</v>
      </c>
      <c r="V41" s="23">
        <f t="shared" si="9"/>
        <v>0.7743066519051871</v>
      </c>
      <c r="W41" s="20">
        <f>152500+370695.59</f>
        <v>523195.59</v>
      </c>
      <c r="X41" s="23">
        <f t="shared" si="10"/>
        <v>0.7743066519051871</v>
      </c>
      <c r="Y41" s="5"/>
      <c r="Z41" s="5"/>
      <c r="AA41" s="5"/>
    </row>
    <row r="42" spans="1:27" ht="54" customHeight="1" x14ac:dyDescent="0.2">
      <c r="A42" s="17" t="s">
        <v>75</v>
      </c>
      <c r="B42" s="28" t="s">
        <v>76</v>
      </c>
      <c r="C42" s="28" t="s">
        <v>47</v>
      </c>
      <c r="D42" s="28" t="s">
        <v>80</v>
      </c>
      <c r="E42" s="28" t="s">
        <v>78</v>
      </c>
      <c r="F42" s="28" t="s">
        <v>79</v>
      </c>
      <c r="G42" s="28" t="s">
        <v>50</v>
      </c>
      <c r="H42" s="28" t="s">
        <v>121</v>
      </c>
      <c r="I42" s="28" t="s">
        <v>119</v>
      </c>
      <c r="J42" s="39">
        <v>4</v>
      </c>
      <c r="K42" s="29">
        <v>0</v>
      </c>
      <c r="L42" s="20">
        <v>134178.35</v>
      </c>
      <c r="M42" s="20">
        <v>0</v>
      </c>
      <c r="N42" s="21">
        <f t="shared" si="6"/>
        <v>134178.35</v>
      </c>
      <c r="O42" s="22"/>
      <c r="P42" s="22"/>
      <c r="Q42" s="22"/>
      <c r="R42" s="21">
        <f t="shared" si="7"/>
        <v>134178.35</v>
      </c>
      <c r="S42" s="32">
        <v>21940</v>
      </c>
      <c r="T42" s="23">
        <f t="shared" si="8"/>
        <v>0.16351371141469542</v>
      </c>
      <c r="U42" s="41">
        <v>0</v>
      </c>
      <c r="V42" s="23">
        <f t="shared" si="9"/>
        <v>0</v>
      </c>
      <c r="W42" s="20">
        <v>0</v>
      </c>
      <c r="X42" s="23">
        <f t="shared" si="10"/>
        <v>0</v>
      </c>
      <c r="Y42" s="5"/>
      <c r="Z42" s="5"/>
      <c r="AA42" s="5"/>
    </row>
    <row r="43" spans="1:27" ht="54" customHeight="1" x14ac:dyDescent="0.2">
      <c r="A43" s="17" t="s">
        <v>75</v>
      </c>
      <c r="B43" s="28" t="s">
        <v>76</v>
      </c>
      <c r="C43" s="28" t="s">
        <v>47</v>
      </c>
      <c r="D43" s="28" t="s">
        <v>81</v>
      </c>
      <c r="E43" s="28" t="s">
        <v>78</v>
      </c>
      <c r="F43" s="28" t="s">
        <v>130</v>
      </c>
      <c r="G43" s="28" t="s">
        <v>50</v>
      </c>
      <c r="H43" s="28" t="s">
        <v>109</v>
      </c>
      <c r="I43" s="28" t="s">
        <v>119</v>
      </c>
      <c r="J43" s="39">
        <v>4</v>
      </c>
      <c r="K43" s="29">
        <v>16520000</v>
      </c>
      <c r="L43" s="20">
        <v>0</v>
      </c>
      <c r="M43" s="20">
        <v>13314189.09</v>
      </c>
      <c r="N43" s="21">
        <f t="shared" si="6"/>
        <v>3205810.91</v>
      </c>
      <c r="O43" s="22"/>
      <c r="P43" s="22"/>
      <c r="Q43" s="22"/>
      <c r="R43" s="21">
        <f t="shared" si="7"/>
        <v>3205810.91</v>
      </c>
      <c r="S43" s="32"/>
      <c r="T43" s="23">
        <f t="shared" si="8"/>
        <v>0</v>
      </c>
      <c r="U43" s="41"/>
      <c r="V43" s="23">
        <f t="shared" si="9"/>
        <v>0</v>
      </c>
      <c r="W43" s="20"/>
      <c r="X43" s="23">
        <f t="shared" si="10"/>
        <v>0</v>
      </c>
      <c r="Y43" s="5"/>
      <c r="Z43" s="5"/>
      <c r="AA43" s="5"/>
    </row>
    <row r="44" spans="1:27" ht="54" customHeight="1" x14ac:dyDescent="0.2">
      <c r="A44" s="17" t="s">
        <v>75</v>
      </c>
      <c r="B44" s="28" t="s">
        <v>76</v>
      </c>
      <c r="C44" s="28" t="s">
        <v>47</v>
      </c>
      <c r="D44" s="28" t="s">
        <v>125</v>
      </c>
      <c r="E44" s="28" t="s">
        <v>78</v>
      </c>
      <c r="F44" s="28" t="s">
        <v>130</v>
      </c>
      <c r="G44" s="28" t="s">
        <v>50</v>
      </c>
      <c r="H44" s="28" t="s">
        <v>109</v>
      </c>
      <c r="I44" s="28" t="s">
        <v>119</v>
      </c>
      <c r="J44" s="39">
        <v>4</v>
      </c>
      <c r="K44" s="29">
        <v>0</v>
      </c>
      <c r="L44" s="20">
        <v>1718367.44</v>
      </c>
      <c r="M44" s="20">
        <v>0</v>
      </c>
      <c r="N44" s="21">
        <f t="shared" si="6"/>
        <v>1718367.44</v>
      </c>
      <c r="O44" s="22"/>
      <c r="P44" s="22"/>
      <c r="Q44" s="22"/>
      <c r="R44" s="21">
        <f t="shared" si="7"/>
        <v>1718367.44</v>
      </c>
      <c r="S44" s="32">
        <v>1718367.44</v>
      </c>
      <c r="T44" s="23">
        <f t="shared" si="8"/>
        <v>1</v>
      </c>
      <c r="U44" s="41">
        <v>250343.99</v>
      </c>
      <c r="V44" s="23">
        <f t="shared" si="9"/>
        <v>0.14568711218131553</v>
      </c>
      <c r="W44" s="20">
        <v>250343.99</v>
      </c>
      <c r="X44" s="23">
        <f t="shared" si="10"/>
        <v>0.14568711218131553</v>
      </c>
      <c r="Y44" s="5"/>
      <c r="Z44" s="5"/>
      <c r="AA44" s="5"/>
    </row>
    <row r="45" spans="1:27" ht="54" customHeight="1" x14ac:dyDescent="0.2">
      <c r="A45" s="17" t="s">
        <v>75</v>
      </c>
      <c r="B45" s="28" t="s">
        <v>76</v>
      </c>
      <c r="C45" s="28" t="s">
        <v>47</v>
      </c>
      <c r="D45" s="28" t="s">
        <v>110</v>
      </c>
      <c r="E45" s="28" t="s">
        <v>78</v>
      </c>
      <c r="F45" s="28" t="s">
        <v>130</v>
      </c>
      <c r="G45" s="28" t="s">
        <v>50</v>
      </c>
      <c r="H45" s="28" t="s">
        <v>109</v>
      </c>
      <c r="I45" s="28" t="s">
        <v>119</v>
      </c>
      <c r="J45" s="39">
        <v>4</v>
      </c>
      <c r="K45" s="29">
        <v>0</v>
      </c>
      <c r="L45" s="20">
        <v>3915649.55</v>
      </c>
      <c r="M45" s="20">
        <v>0</v>
      </c>
      <c r="N45" s="21">
        <f t="shared" si="6"/>
        <v>3915649.55</v>
      </c>
      <c r="O45" s="22"/>
      <c r="P45" s="22"/>
      <c r="Q45" s="22"/>
      <c r="R45" s="21">
        <f t="shared" si="7"/>
        <v>3915649.55</v>
      </c>
      <c r="S45" s="32">
        <v>3915646.71</v>
      </c>
      <c r="T45" s="23">
        <f t="shared" si="8"/>
        <v>0.99999927470526573</v>
      </c>
      <c r="U45" s="41">
        <v>3915646.71</v>
      </c>
      <c r="V45" s="23">
        <f t="shared" si="9"/>
        <v>0.99999927470526573</v>
      </c>
      <c r="W45" s="20">
        <v>3915646.71</v>
      </c>
      <c r="X45" s="23">
        <f t="shared" si="10"/>
        <v>0.99999927470526573</v>
      </c>
      <c r="Y45" s="5"/>
      <c r="Z45" s="5"/>
      <c r="AA45" s="5"/>
    </row>
    <row r="46" spans="1:27" ht="54" customHeight="1" x14ac:dyDescent="0.2">
      <c r="A46" s="17" t="s">
        <v>75</v>
      </c>
      <c r="B46" s="28" t="s">
        <v>76</v>
      </c>
      <c r="C46" s="28" t="s">
        <v>47</v>
      </c>
      <c r="D46" s="28" t="s">
        <v>110</v>
      </c>
      <c r="E46" s="28" t="s">
        <v>78</v>
      </c>
      <c r="F46" s="28" t="s">
        <v>130</v>
      </c>
      <c r="G46" s="28" t="s">
        <v>50</v>
      </c>
      <c r="H46" s="28" t="s">
        <v>121</v>
      </c>
      <c r="I46" s="28" t="s">
        <v>119</v>
      </c>
      <c r="J46" s="39">
        <v>4</v>
      </c>
      <c r="K46" s="29">
        <v>0</v>
      </c>
      <c r="L46" s="20">
        <v>211303.86</v>
      </c>
      <c r="M46" s="20">
        <v>0</v>
      </c>
      <c r="N46" s="21">
        <f t="shared" si="6"/>
        <v>211303.86</v>
      </c>
      <c r="O46" s="22"/>
      <c r="P46" s="22"/>
      <c r="Q46" s="22"/>
      <c r="R46" s="21">
        <f t="shared" si="7"/>
        <v>211303.86</v>
      </c>
      <c r="S46" s="32">
        <v>211303.86</v>
      </c>
      <c r="T46" s="23">
        <f t="shared" si="8"/>
        <v>1</v>
      </c>
      <c r="U46" s="41">
        <v>211303.86</v>
      </c>
      <c r="V46" s="23">
        <f t="shared" si="9"/>
        <v>1</v>
      </c>
      <c r="W46" s="20">
        <v>211303.86</v>
      </c>
      <c r="X46" s="23">
        <f t="shared" si="10"/>
        <v>1</v>
      </c>
      <c r="Y46" s="5"/>
      <c r="Z46" s="5"/>
      <c r="AA46" s="5"/>
    </row>
    <row r="47" spans="1:27" ht="54" customHeight="1" x14ac:dyDescent="0.2">
      <c r="A47" s="17" t="s">
        <v>75</v>
      </c>
      <c r="B47" s="28" t="s">
        <v>76</v>
      </c>
      <c r="C47" s="28" t="s">
        <v>47</v>
      </c>
      <c r="D47" s="28" t="s">
        <v>111</v>
      </c>
      <c r="E47" s="28" t="s">
        <v>78</v>
      </c>
      <c r="F47" s="28" t="s">
        <v>130</v>
      </c>
      <c r="G47" s="28" t="s">
        <v>50</v>
      </c>
      <c r="H47" s="28" t="s">
        <v>109</v>
      </c>
      <c r="I47" s="28" t="s">
        <v>119</v>
      </c>
      <c r="J47" s="39">
        <v>4</v>
      </c>
      <c r="K47" s="29">
        <v>0</v>
      </c>
      <c r="L47" s="20">
        <v>6430080.5599999996</v>
      </c>
      <c r="M47" s="20">
        <v>0</v>
      </c>
      <c r="N47" s="21">
        <f t="shared" si="6"/>
        <v>6430080.5599999996</v>
      </c>
      <c r="O47" s="22"/>
      <c r="P47" s="22"/>
      <c r="Q47" s="22"/>
      <c r="R47" s="21">
        <f t="shared" si="7"/>
        <v>6430080.5599999996</v>
      </c>
      <c r="S47" s="32">
        <v>903707.29</v>
      </c>
      <c r="T47" s="23">
        <f t="shared" si="8"/>
        <v>0.14054369639188471</v>
      </c>
      <c r="U47" s="41">
        <v>147314.68</v>
      </c>
      <c r="V47" s="23">
        <f t="shared" si="9"/>
        <v>2.2910238623822157E-2</v>
      </c>
      <c r="W47" s="20">
        <v>147314.68</v>
      </c>
      <c r="X47" s="23">
        <f t="shared" si="10"/>
        <v>2.2910238623822157E-2</v>
      </c>
      <c r="Y47" s="5"/>
      <c r="Z47" s="5"/>
      <c r="AA47" s="5"/>
    </row>
    <row r="48" spans="1:27" ht="54" customHeight="1" x14ac:dyDescent="0.2">
      <c r="A48" s="17" t="s">
        <v>75</v>
      </c>
      <c r="B48" s="28" t="s">
        <v>76</v>
      </c>
      <c r="C48" s="28" t="s">
        <v>47</v>
      </c>
      <c r="D48" s="28" t="s">
        <v>111</v>
      </c>
      <c r="E48" s="28" t="s">
        <v>78</v>
      </c>
      <c r="F48" s="28" t="s">
        <v>130</v>
      </c>
      <c r="G48" s="28" t="s">
        <v>50</v>
      </c>
      <c r="H48" s="28" t="s">
        <v>121</v>
      </c>
      <c r="I48" s="28" t="s">
        <v>119</v>
      </c>
      <c r="J48" s="39">
        <v>4</v>
      </c>
      <c r="K48" s="29">
        <v>0</v>
      </c>
      <c r="L48" s="20">
        <v>7450000</v>
      </c>
      <c r="M48" s="20">
        <v>0</v>
      </c>
      <c r="N48" s="21">
        <f t="shared" si="6"/>
        <v>7450000</v>
      </c>
      <c r="O48" s="22"/>
      <c r="P48" s="22"/>
      <c r="Q48" s="22"/>
      <c r="R48" s="21">
        <f t="shared" si="7"/>
        <v>7450000</v>
      </c>
      <c r="S48" s="32">
        <v>444187.03</v>
      </c>
      <c r="T48" s="23">
        <f t="shared" si="8"/>
        <v>5.9622420134228193E-2</v>
      </c>
      <c r="U48" s="41">
        <v>0</v>
      </c>
      <c r="V48" s="23">
        <f t="shared" si="9"/>
        <v>0</v>
      </c>
      <c r="W48" s="20">
        <v>0</v>
      </c>
      <c r="X48" s="23">
        <f t="shared" si="10"/>
        <v>0</v>
      </c>
      <c r="Y48" s="5"/>
      <c r="Z48" s="5"/>
      <c r="AA48" s="5"/>
    </row>
    <row r="49" spans="1:27" ht="54" customHeight="1" x14ac:dyDescent="0.2">
      <c r="A49" s="17" t="s">
        <v>75</v>
      </c>
      <c r="B49" s="28" t="s">
        <v>76</v>
      </c>
      <c r="C49" s="28" t="s">
        <v>47</v>
      </c>
      <c r="D49" s="28" t="s">
        <v>82</v>
      </c>
      <c r="E49" s="28" t="s">
        <v>78</v>
      </c>
      <c r="F49" s="28" t="s">
        <v>131</v>
      </c>
      <c r="G49" s="28" t="s">
        <v>50</v>
      </c>
      <c r="H49" s="28" t="s">
        <v>109</v>
      </c>
      <c r="I49" s="28" t="s">
        <v>119</v>
      </c>
      <c r="J49" s="39">
        <v>4</v>
      </c>
      <c r="K49" s="29">
        <v>100000</v>
      </c>
      <c r="L49" s="20">
        <v>0</v>
      </c>
      <c r="M49" s="20">
        <v>0</v>
      </c>
      <c r="N49" s="21">
        <f t="shared" si="6"/>
        <v>100000</v>
      </c>
      <c r="O49" s="22"/>
      <c r="P49" s="22"/>
      <c r="Q49" s="22"/>
      <c r="R49" s="21">
        <f t="shared" si="7"/>
        <v>100000</v>
      </c>
      <c r="S49" s="32">
        <v>64458</v>
      </c>
      <c r="T49" s="23">
        <f t="shared" si="8"/>
        <v>0.64458000000000004</v>
      </c>
      <c r="U49" s="41">
        <v>64458</v>
      </c>
      <c r="V49" s="23">
        <f t="shared" si="9"/>
        <v>0.64458000000000004</v>
      </c>
      <c r="W49" s="20">
        <v>64458</v>
      </c>
      <c r="X49" s="23">
        <f t="shared" si="10"/>
        <v>0.64458000000000004</v>
      </c>
      <c r="Y49" s="5"/>
      <c r="Z49" s="5"/>
      <c r="AA49" s="5"/>
    </row>
    <row r="50" spans="1:27" ht="54" customHeight="1" x14ac:dyDescent="0.2">
      <c r="A50" s="17" t="s">
        <v>75</v>
      </c>
      <c r="B50" s="28" t="s">
        <v>76</v>
      </c>
      <c r="C50" s="28" t="s">
        <v>47</v>
      </c>
      <c r="D50" s="28" t="s">
        <v>48</v>
      </c>
      <c r="E50" s="28" t="s">
        <v>78</v>
      </c>
      <c r="F50" s="28" t="s">
        <v>83</v>
      </c>
      <c r="G50" s="28" t="s">
        <v>50</v>
      </c>
      <c r="H50" s="28" t="s">
        <v>109</v>
      </c>
      <c r="I50" s="28" t="s">
        <v>119</v>
      </c>
      <c r="J50" s="57">
        <v>3</v>
      </c>
      <c r="K50" s="29">
        <f>54800000-K51</f>
        <v>53000000</v>
      </c>
      <c r="L50" s="20">
        <f>18323680.94-L51</f>
        <v>17898680.940000001</v>
      </c>
      <c r="M50" s="20">
        <f>11864233.08-M51</f>
        <v>11314880.92</v>
      </c>
      <c r="N50" s="21">
        <f t="shared" si="6"/>
        <v>59583800.019999996</v>
      </c>
      <c r="O50" s="21"/>
      <c r="P50" s="21"/>
      <c r="Q50" s="21"/>
      <c r="R50" s="21">
        <f t="shared" si="7"/>
        <v>59583800.019999996</v>
      </c>
      <c r="S50" s="29">
        <f>43032325.81-S51</f>
        <v>41729262.039999999</v>
      </c>
      <c r="T50" s="23">
        <f t="shared" si="8"/>
        <v>0.70034576556032158</v>
      </c>
      <c r="U50" s="42">
        <f>39746798-U51</f>
        <v>38785109.229999997</v>
      </c>
      <c r="V50" s="23">
        <f t="shared" si="9"/>
        <v>0.65093379772658544</v>
      </c>
      <c r="W50" s="20">
        <f>39555323.8-W51</f>
        <v>38593635.029999994</v>
      </c>
      <c r="X50" s="23">
        <f t="shared" si="10"/>
        <v>0.64772026988956044</v>
      </c>
      <c r="Y50" s="5"/>
      <c r="Z50" s="5"/>
      <c r="AA50" s="5"/>
    </row>
    <row r="51" spans="1:27" ht="54" customHeight="1" x14ac:dyDescent="0.2">
      <c r="A51" s="17" t="s">
        <v>75</v>
      </c>
      <c r="B51" s="28" t="s">
        <v>76</v>
      </c>
      <c r="C51" s="28" t="s">
        <v>47</v>
      </c>
      <c r="D51" s="28" t="s">
        <v>48</v>
      </c>
      <c r="E51" s="28" t="s">
        <v>78</v>
      </c>
      <c r="F51" s="28" t="s">
        <v>83</v>
      </c>
      <c r="G51" s="28" t="s">
        <v>50</v>
      </c>
      <c r="H51" s="28" t="s">
        <v>109</v>
      </c>
      <c r="I51" s="28" t="s">
        <v>119</v>
      </c>
      <c r="J51" s="39">
        <v>4</v>
      </c>
      <c r="K51" s="29">
        <f>1800000</f>
        <v>1800000</v>
      </c>
      <c r="L51" s="20">
        <v>425000</v>
      </c>
      <c r="M51" s="20">
        <v>549352.16</v>
      </c>
      <c r="N51" s="21">
        <f t="shared" si="6"/>
        <v>1675647.8399999999</v>
      </c>
      <c r="O51" s="21"/>
      <c r="P51" s="21"/>
      <c r="Q51" s="21"/>
      <c r="R51" s="21">
        <f t="shared" si="7"/>
        <v>1675647.8399999999</v>
      </c>
      <c r="S51" s="20">
        <f>13539+690524.77+599000</f>
        <v>1303063.77</v>
      </c>
      <c r="T51" s="23">
        <f t="shared" si="8"/>
        <v>0.7776477484672436</v>
      </c>
      <c r="U51" s="41">
        <f>13539+349149.77+599000</f>
        <v>961688.77</v>
      </c>
      <c r="V51" s="23">
        <f t="shared" si="9"/>
        <v>0.57392057390770135</v>
      </c>
      <c r="W51" s="20">
        <f>13539+349149.77+599000</f>
        <v>961688.77</v>
      </c>
      <c r="X51" s="23">
        <f t="shared" si="10"/>
        <v>0.57392057390770135</v>
      </c>
      <c r="Y51" s="5"/>
      <c r="Z51" s="5"/>
      <c r="AA51" s="5"/>
    </row>
    <row r="52" spans="1:27" ht="58.5" customHeight="1" x14ac:dyDescent="0.2">
      <c r="A52" s="17" t="s">
        <v>75</v>
      </c>
      <c r="B52" s="28" t="s">
        <v>76</v>
      </c>
      <c r="C52" s="28" t="s">
        <v>47</v>
      </c>
      <c r="D52" s="28" t="s">
        <v>48</v>
      </c>
      <c r="E52" s="28" t="s">
        <v>78</v>
      </c>
      <c r="F52" s="28" t="s">
        <v>83</v>
      </c>
      <c r="G52" s="28" t="s">
        <v>50</v>
      </c>
      <c r="H52" s="28" t="s">
        <v>121</v>
      </c>
      <c r="I52" s="28" t="s">
        <v>119</v>
      </c>
      <c r="J52" s="57">
        <v>3</v>
      </c>
      <c r="K52" s="29">
        <v>0</v>
      </c>
      <c r="L52" s="30">
        <f>18546209.86-L53</f>
        <v>17664368.859999999</v>
      </c>
      <c r="M52" s="30">
        <v>387000</v>
      </c>
      <c r="N52" s="31">
        <f t="shared" si="6"/>
        <v>17277368.859999999</v>
      </c>
      <c r="O52" s="31"/>
      <c r="P52" s="31"/>
      <c r="Q52" s="31"/>
      <c r="R52" s="31">
        <f t="shared" si="7"/>
        <v>17277368.859999999</v>
      </c>
      <c r="S52" s="30">
        <f>14008972.66-S53</f>
        <v>13135107.85</v>
      </c>
      <c r="T52" s="33">
        <f t="shared" si="8"/>
        <v>0.76024931553148545</v>
      </c>
      <c r="U52" s="42">
        <f>11546189.67-U53</f>
        <v>10696234.710000001</v>
      </c>
      <c r="V52" s="33">
        <f t="shared" si="9"/>
        <v>0.61908932990159016</v>
      </c>
      <c r="W52" s="30">
        <f>11530451.93-W53</f>
        <v>10680496.969999999</v>
      </c>
      <c r="X52" s="33">
        <f t="shared" si="10"/>
        <v>0.61817844236266417</v>
      </c>
      <c r="Y52" s="5"/>
      <c r="Z52" s="5"/>
      <c r="AA52" s="5"/>
    </row>
    <row r="53" spans="1:27" ht="54" customHeight="1" x14ac:dyDescent="0.2">
      <c r="A53" s="17" t="s">
        <v>75</v>
      </c>
      <c r="B53" s="28" t="s">
        <v>76</v>
      </c>
      <c r="C53" s="28" t="s">
        <v>47</v>
      </c>
      <c r="D53" s="28" t="s">
        <v>48</v>
      </c>
      <c r="E53" s="28" t="s">
        <v>78</v>
      </c>
      <c r="F53" s="28" t="s">
        <v>83</v>
      </c>
      <c r="G53" s="28" t="s">
        <v>50</v>
      </c>
      <c r="H53" s="28" t="s">
        <v>121</v>
      </c>
      <c r="I53" s="28" t="s">
        <v>119</v>
      </c>
      <c r="J53" s="39">
        <v>4</v>
      </c>
      <c r="K53" s="29">
        <v>0</v>
      </c>
      <c r="L53" s="30">
        <f>881841</f>
        <v>881841</v>
      </c>
      <c r="M53" s="30">
        <v>0</v>
      </c>
      <c r="N53" s="31">
        <f t="shared" si="6"/>
        <v>881841</v>
      </c>
      <c r="O53" s="31"/>
      <c r="P53" s="31"/>
      <c r="Q53" s="31"/>
      <c r="R53" s="31">
        <f t="shared" si="7"/>
        <v>881841</v>
      </c>
      <c r="S53" s="30">
        <f>311641.85+204700+32550+7305+317667.96</f>
        <v>873864.81</v>
      </c>
      <c r="T53" s="33">
        <f t="shared" si="8"/>
        <v>0.99095507013169049</v>
      </c>
      <c r="U53" s="41">
        <f>295037+204700+32550+317667.96</f>
        <v>849954.96</v>
      </c>
      <c r="V53" s="33">
        <f t="shared" si="9"/>
        <v>0.96384150884343089</v>
      </c>
      <c r="W53" s="30">
        <f>295037+204700+32550+317667.96</f>
        <v>849954.96</v>
      </c>
      <c r="X53" s="33">
        <f t="shared" si="10"/>
        <v>0.96384150884343089</v>
      </c>
      <c r="Y53" s="5"/>
      <c r="Z53" s="5"/>
      <c r="AA53" s="5"/>
    </row>
    <row r="54" spans="1:27" ht="54" customHeight="1" x14ac:dyDescent="0.2">
      <c r="A54" s="17" t="s">
        <v>75</v>
      </c>
      <c r="B54" s="28" t="s">
        <v>76</v>
      </c>
      <c r="C54" s="28" t="s">
        <v>47</v>
      </c>
      <c r="D54" s="28" t="s">
        <v>51</v>
      </c>
      <c r="E54" s="28" t="s">
        <v>78</v>
      </c>
      <c r="F54" s="28" t="s">
        <v>84</v>
      </c>
      <c r="G54" s="28" t="s">
        <v>50</v>
      </c>
      <c r="H54" s="28" t="s">
        <v>109</v>
      </c>
      <c r="I54" s="28" t="s">
        <v>119</v>
      </c>
      <c r="J54" s="57">
        <v>3</v>
      </c>
      <c r="K54" s="29">
        <v>65000</v>
      </c>
      <c r="L54" s="30">
        <v>0</v>
      </c>
      <c r="M54" s="30">
        <v>52874.8</v>
      </c>
      <c r="N54" s="31">
        <f t="shared" si="6"/>
        <v>12125.199999999997</v>
      </c>
      <c r="O54" s="31"/>
      <c r="P54" s="31"/>
      <c r="Q54" s="31"/>
      <c r="R54" s="31">
        <f t="shared" si="7"/>
        <v>12125.199999999997</v>
      </c>
      <c r="S54" s="30">
        <v>0</v>
      </c>
      <c r="T54" s="33">
        <f t="shared" si="8"/>
        <v>0</v>
      </c>
      <c r="U54" s="42">
        <v>0</v>
      </c>
      <c r="V54" s="33">
        <f t="shared" si="9"/>
        <v>0</v>
      </c>
      <c r="W54" s="30">
        <v>0</v>
      </c>
      <c r="X54" s="33">
        <f t="shared" si="10"/>
        <v>0</v>
      </c>
      <c r="Y54" s="5"/>
      <c r="Z54" s="5"/>
      <c r="AA54" s="5"/>
    </row>
    <row r="55" spans="1:27" ht="45" x14ac:dyDescent="0.2">
      <c r="A55" s="17" t="s">
        <v>75</v>
      </c>
      <c r="B55" s="28" t="s">
        <v>76</v>
      </c>
      <c r="C55" s="28" t="s">
        <v>47</v>
      </c>
      <c r="D55" s="28" t="s">
        <v>51</v>
      </c>
      <c r="E55" s="28" t="s">
        <v>78</v>
      </c>
      <c r="F55" s="28" t="s">
        <v>84</v>
      </c>
      <c r="G55" s="28" t="s">
        <v>50</v>
      </c>
      <c r="H55" s="28" t="s">
        <v>121</v>
      </c>
      <c r="I55" s="28" t="s">
        <v>119</v>
      </c>
      <c r="J55" s="57">
        <v>3</v>
      </c>
      <c r="K55" s="29">
        <v>0</v>
      </c>
      <c r="L55" s="30">
        <v>27905000</v>
      </c>
      <c r="M55" s="30">
        <v>0</v>
      </c>
      <c r="N55" s="31">
        <f t="shared" si="6"/>
        <v>27905000</v>
      </c>
      <c r="O55" s="31"/>
      <c r="P55" s="31"/>
      <c r="Q55" s="31"/>
      <c r="R55" s="31">
        <f t="shared" si="7"/>
        <v>27905000</v>
      </c>
      <c r="S55" s="32">
        <v>18564433.579999998</v>
      </c>
      <c r="T55" s="33">
        <f t="shared" si="8"/>
        <v>0.66527266009675678</v>
      </c>
      <c r="U55" s="42">
        <v>18564433.579999998</v>
      </c>
      <c r="V55" s="33">
        <f t="shared" si="9"/>
        <v>0.66527266009675678</v>
      </c>
      <c r="W55" s="30">
        <v>18564433.579999998</v>
      </c>
      <c r="X55" s="33">
        <f t="shared" si="10"/>
        <v>0.66527266009675678</v>
      </c>
      <c r="Y55" s="5"/>
      <c r="Z55" s="5"/>
      <c r="AA55" s="5"/>
    </row>
    <row r="56" spans="1:27" ht="63" x14ac:dyDescent="0.2">
      <c r="A56" s="17" t="s">
        <v>75</v>
      </c>
      <c r="B56" s="28" t="s">
        <v>76</v>
      </c>
      <c r="C56" s="28" t="s">
        <v>47</v>
      </c>
      <c r="D56" s="28" t="s">
        <v>85</v>
      </c>
      <c r="E56" s="28" t="s">
        <v>58</v>
      </c>
      <c r="F56" s="28" t="s">
        <v>86</v>
      </c>
      <c r="G56" s="28" t="s">
        <v>50</v>
      </c>
      <c r="H56" s="28" t="s">
        <v>109</v>
      </c>
      <c r="I56" s="28" t="s">
        <v>119</v>
      </c>
      <c r="J56" s="39">
        <v>4</v>
      </c>
      <c r="K56" s="29">
        <v>5000000</v>
      </c>
      <c r="L56" s="30">
        <v>0</v>
      </c>
      <c r="M56" s="30">
        <v>5000000</v>
      </c>
      <c r="N56" s="31">
        <f t="shared" si="6"/>
        <v>0</v>
      </c>
      <c r="O56" s="31"/>
      <c r="P56" s="31"/>
      <c r="Q56" s="31"/>
      <c r="R56" s="31">
        <f t="shared" si="7"/>
        <v>0</v>
      </c>
      <c r="S56" s="32">
        <v>0</v>
      </c>
      <c r="T56" s="33">
        <f t="shared" si="8"/>
        <v>0</v>
      </c>
      <c r="U56" s="41">
        <v>0</v>
      </c>
      <c r="V56" s="33">
        <f t="shared" si="9"/>
        <v>0</v>
      </c>
      <c r="W56" s="30">
        <v>0</v>
      </c>
      <c r="X56" s="33">
        <f t="shared" si="10"/>
        <v>0</v>
      </c>
      <c r="Y56" s="5"/>
      <c r="Z56" s="5"/>
      <c r="AA56" s="5"/>
    </row>
    <row r="57" spans="1:27" ht="63" x14ac:dyDescent="0.2">
      <c r="A57" s="17" t="s">
        <v>75</v>
      </c>
      <c r="B57" s="28" t="s">
        <v>76</v>
      </c>
      <c r="C57" s="28" t="s">
        <v>47</v>
      </c>
      <c r="D57" s="28" t="s">
        <v>113</v>
      </c>
      <c r="E57" s="28" t="s">
        <v>58</v>
      </c>
      <c r="F57" s="28" t="s">
        <v>86</v>
      </c>
      <c r="G57" s="28" t="s">
        <v>50</v>
      </c>
      <c r="H57" s="28" t="s">
        <v>121</v>
      </c>
      <c r="I57" s="28" t="s">
        <v>119</v>
      </c>
      <c r="J57" s="39">
        <v>4</v>
      </c>
      <c r="K57" s="29">
        <v>0</v>
      </c>
      <c r="L57" s="30">
        <v>7378750.8899999997</v>
      </c>
      <c r="M57" s="30">
        <v>0</v>
      </c>
      <c r="N57" s="31">
        <f t="shared" si="6"/>
        <v>7378750.8899999997</v>
      </c>
      <c r="O57" s="31"/>
      <c r="P57" s="31"/>
      <c r="Q57" s="31"/>
      <c r="R57" s="31">
        <f t="shared" si="7"/>
        <v>7378750.8899999997</v>
      </c>
      <c r="S57" s="32">
        <v>7033376.5300000003</v>
      </c>
      <c r="T57" s="33">
        <f t="shared" si="8"/>
        <v>0.953193383927886</v>
      </c>
      <c r="U57" s="41">
        <v>1945683.57</v>
      </c>
      <c r="V57" s="33">
        <f t="shared" si="9"/>
        <v>0.2636873908613549</v>
      </c>
      <c r="W57" s="30">
        <v>1945683.57</v>
      </c>
      <c r="X57" s="33">
        <f t="shared" si="10"/>
        <v>0.2636873908613549</v>
      </c>
      <c r="Y57" s="5"/>
      <c r="Z57" s="5"/>
      <c r="AA57" s="5"/>
    </row>
    <row r="58" spans="1:27" ht="63" x14ac:dyDescent="0.2">
      <c r="A58" s="17" t="s">
        <v>75</v>
      </c>
      <c r="B58" s="28" t="s">
        <v>76</v>
      </c>
      <c r="C58" s="28" t="s">
        <v>47</v>
      </c>
      <c r="D58" s="28" t="s">
        <v>87</v>
      </c>
      <c r="E58" s="28" t="s">
        <v>58</v>
      </c>
      <c r="F58" s="28" t="s">
        <v>126</v>
      </c>
      <c r="G58" s="28" t="s">
        <v>50</v>
      </c>
      <c r="H58" s="28" t="s">
        <v>109</v>
      </c>
      <c r="I58" s="28" t="s">
        <v>119</v>
      </c>
      <c r="J58" s="62">
        <v>3</v>
      </c>
      <c r="K58" s="29">
        <v>0</v>
      </c>
      <c r="L58" s="30">
        <v>130000</v>
      </c>
      <c r="M58" s="30">
        <v>0</v>
      </c>
      <c r="N58" s="31">
        <f t="shared" si="6"/>
        <v>130000</v>
      </c>
      <c r="O58" s="31"/>
      <c r="P58" s="31"/>
      <c r="Q58" s="31"/>
      <c r="R58" s="31">
        <f t="shared" si="7"/>
        <v>130000</v>
      </c>
      <c r="S58" s="32">
        <v>0</v>
      </c>
      <c r="T58" s="33">
        <f t="shared" si="8"/>
        <v>0</v>
      </c>
      <c r="U58" s="24">
        <v>0</v>
      </c>
      <c r="V58" s="33">
        <f t="shared" si="9"/>
        <v>0</v>
      </c>
      <c r="W58" s="30">
        <v>0</v>
      </c>
      <c r="X58" s="33">
        <f t="shared" si="10"/>
        <v>0</v>
      </c>
      <c r="Y58" s="5"/>
      <c r="Z58" s="5"/>
      <c r="AA58" s="5"/>
    </row>
    <row r="59" spans="1:27" ht="63" x14ac:dyDescent="0.2">
      <c r="A59" s="17" t="s">
        <v>75</v>
      </c>
      <c r="B59" s="28" t="s">
        <v>76</v>
      </c>
      <c r="C59" s="28" t="s">
        <v>47</v>
      </c>
      <c r="D59" s="28" t="s">
        <v>87</v>
      </c>
      <c r="E59" s="28" t="s">
        <v>58</v>
      </c>
      <c r="F59" s="28" t="s">
        <v>126</v>
      </c>
      <c r="G59" s="28" t="s">
        <v>50</v>
      </c>
      <c r="H59" s="28" t="s">
        <v>109</v>
      </c>
      <c r="I59" s="28" t="s">
        <v>119</v>
      </c>
      <c r="J59" s="39">
        <v>4</v>
      </c>
      <c r="K59" s="29">
        <v>100000</v>
      </c>
      <c r="L59" s="30">
        <v>0</v>
      </c>
      <c r="M59" s="30">
        <v>0</v>
      </c>
      <c r="N59" s="31">
        <f t="shared" si="6"/>
        <v>100000</v>
      </c>
      <c r="O59" s="31"/>
      <c r="P59" s="31"/>
      <c r="Q59" s="31"/>
      <c r="R59" s="31">
        <f t="shared" si="7"/>
        <v>100000</v>
      </c>
      <c r="S59" s="32">
        <v>0</v>
      </c>
      <c r="T59" s="33">
        <f t="shared" si="8"/>
        <v>0</v>
      </c>
      <c r="U59" s="41">
        <v>0</v>
      </c>
      <c r="V59" s="33">
        <f t="shared" si="9"/>
        <v>0</v>
      </c>
      <c r="W59" s="30">
        <v>0</v>
      </c>
      <c r="X59" s="33">
        <f t="shared" si="10"/>
        <v>0</v>
      </c>
      <c r="Y59" s="5"/>
      <c r="Z59" s="5"/>
      <c r="AA59" s="5"/>
    </row>
    <row r="60" spans="1:27" ht="63" x14ac:dyDescent="0.2">
      <c r="A60" s="17" t="s">
        <v>75</v>
      </c>
      <c r="B60" s="28" t="s">
        <v>76</v>
      </c>
      <c r="C60" s="28" t="s">
        <v>47</v>
      </c>
      <c r="D60" s="28" t="s">
        <v>90</v>
      </c>
      <c r="E60" s="28" t="s">
        <v>58</v>
      </c>
      <c r="F60" s="28" t="s">
        <v>89</v>
      </c>
      <c r="G60" s="28" t="s">
        <v>50</v>
      </c>
      <c r="H60" s="28" t="s">
        <v>109</v>
      </c>
      <c r="I60" s="28" t="s">
        <v>119</v>
      </c>
      <c r="J60" s="39">
        <v>4</v>
      </c>
      <c r="K60" s="29">
        <v>280000</v>
      </c>
      <c r="L60" s="30">
        <v>0</v>
      </c>
      <c r="M60" s="30">
        <v>91950</v>
      </c>
      <c r="N60" s="31">
        <f t="shared" si="6"/>
        <v>188050</v>
      </c>
      <c r="O60" s="31"/>
      <c r="P60" s="31"/>
      <c r="Q60" s="31"/>
      <c r="R60" s="31">
        <f t="shared" si="7"/>
        <v>188050</v>
      </c>
      <c r="S60" s="32">
        <v>30100</v>
      </c>
      <c r="T60" s="33">
        <f t="shared" si="8"/>
        <v>0.1600638128157405</v>
      </c>
      <c r="U60" s="41">
        <v>0</v>
      </c>
      <c r="V60" s="33">
        <f t="shared" si="9"/>
        <v>0</v>
      </c>
      <c r="W60" s="30">
        <v>0</v>
      </c>
      <c r="X60" s="33">
        <f t="shared" si="10"/>
        <v>0</v>
      </c>
      <c r="Y60" s="5"/>
      <c r="Z60" s="5"/>
      <c r="AA60" s="5"/>
    </row>
    <row r="61" spans="1:27" ht="63" x14ac:dyDescent="0.2">
      <c r="A61" s="17" t="s">
        <v>75</v>
      </c>
      <c r="B61" s="28" t="s">
        <v>76</v>
      </c>
      <c r="C61" s="28" t="s">
        <v>47</v>
      </c>
      <c r="D61" s="28" t="s">
        <v>88</v>
      </c>
      <c r="E61" s="28" t="s">
        <v>58</v>
      </c>
      <c r="F61" s="28" t="s">
        <v>89</v>
      </c>
      <c r="G61" s="28" t="s">
        <v>50</v>
      </c>
      <c r="H61" s="28" t="s">
        <v>109</v>
      </c>
      <c r="I61" s="28" t="s">
        <v>119</v>
      </c>
      <c r="J61" s="62">
        <v>3</v>
      </c>
      <c r="K61" s="29">
        <v>0</v>
      </c>
      <c r="L61" s="30">
        <v>42000</v>
      </c>
      <c r="M61" s="30">
        <v>0</v>
      </c>
      <c r="N61" s="31">
        <f t="shared" si="6"/>
        <v>42000</v>
      </c>
      <c r="O61" s="31"/>
      <c r="P61" s="31"/>
      <c r="Q61" s="31"/>
      <c r="R61" s="31">
        <f t="shared" si="7"/>
        <v>42000</v>
      </c>
      <c r="S61" s="32">
        <v>0</v>
      </c>
      <c r="T61" s="33">
        <f t="shared" si="8"/>
        <v>0</v>
      </c>
      <c r="U61" s="59">
        <v>0</v>
      </c>
      <c r="V61" s="33">
        <f t="shared" si="9"/>
        <v>0</v>
      </c>
      <c r="W61" s="30">
        <v>0</v>
      </c>
      <c r="X61" s="33">
        <f t="shared" si="10"/>
        <v>0</v>
      </c>
      <c r="Y61" s="5"/>
      <c r="Z61" s="5"/>
      <c r="AA61" s="5"/>
    </row>
    <row r="62" spans="1:27" ht="63" x14ac:dyDescent="0.2">
      <c r="A62" s="17" t="s">
        <v>75</v>
      </c>
      <c r="B62" s="28" t="s">
        <v>76</v>
      </c>
      <c r="C62" s="28" t="s">
        <v>47</v>
      </c>
      <c r="D62" s="28" t="s">
        <v>88</v>
      </c>
      <c r="E62" s="28" t="s">
        <v>58</v>
      </c>
      <c r="F62" s="28" t="s">
        <v>89</v>
      </c>
      <c r="G62" s="28" t="s">
        <v>50</v>
      </c>
      <c r="H62" s="28" t="s">
        <v>109</v>
      </c>
      <c r="I62" s="28" t="s">
        <v>119</v>
      </c>
      <c r="J62" s="39">
        <v>4</v>
      </c>
      <c r="K62" s="29">
        <v>0</v>
      </c>
      <c r="L62" s="30">
        <v>49950</v>
      </c>
      <c r="M62" s="30">
        <v>0</v>
      </c>
      <c r="N62" s="31">
        <f t="shared" si="6"/>
        <v>49950</v>
      </c>
      <c r="O62" s="31"/>
      <c r="P62" s="31"/>
      <c r="Q62" s="31"/>
      <c r="R62" s="31">
        <f t="shared" si="7"/>
        <v>49950</v>
      </c>
      <c r="S62" s="32">
        <v>49950</v>
      </c>
      <c r="T62" s="33">
        <f t="shared" si="8"/>
        <v>1</v>
      </c>
      <c r="U62" s="41">
        <v>49950</v>
      </c>
      <c r="V62" s="33">
        <f t="shared" si="9"/>
        <v>1</v>
      </c>
      <c r="W62" s="30">
        <v>49950</v>
      </c>
      <c r="X62" s="33">
        <f t="shared" si="10"/>
        <v>1</v>
      </c>
      <c r="Y62" s="5"/>
      <c r="Z62" s="5"/>
      <c r="AA62" s="5"/>
    </row>
    <row r="63" spans="1:27" ht="63" x14ac:dyDescent="0.2">
      <c r="A63" s="17" t="s">
        <v>75</v>
      </c>
      <c r="B63" s="28" t="s">
        <v>76</v>
      </c>
      <c r="C63" s="28" t="s">
        <v>47</v>
      </c>
      <c r="D63" s="28" t="s">
        <v>55</v>
      </c>
      <c r="E63" s="28" t="s">
        <v>58</v>
      </c>
      <c r="F63" s="28" t="s">
        <v>56</v>
      </c>
      <c r="G63" s="28" t="s">
        <v>50</v>
      </c>
      <c r="H63" s="28" t="s">
        <v>112</v>
      </c>
      <c r="I63" s="28" t="s">
        <v>122</v>
      </c>
      <c r="J63" s="57">
        <v>3</v>
      </c>
      <c r="K63" s="29">
        <v>400000</v>
      </c>
      <c r="L63" s="30">
        <v>65776</v>
      </c>
      <c r="M63" s="30">
        <v>65776</v>
      </c>
      <c r="N63" s="31">
        <f t="shared" si="6"/>
        <v>400000</v>
      </c>
      <c r="O63" s="31"/>
      <c r="P63" s="31"/>
      <c r="Q63" s="31"/>
      <c r="R63" s="31">
        <f t="shared" si="7"/>
        <v>400000</v>
      </c>
      <c r="S63" s="32">
        <v>314585.18</v>
      </c>
      <c r="T63" s="33">
        <f t="shared" si="8"/>
        <v>0.78646294999999999</v>
      </c>
      <c r="U63" s="42">
        <v>304473.38</v>
      </c>
      <c r="V63" s="33">
        <f t="shared" si="9"/>
        <v>0.76118344999999998</v>
      </c>
      <c r="W63" s="30">
        <v>304473.38</v>
      </c>
      <c r="X63" s="33">
        <f t="shared" si="10"/>
        <v>0.76118344999999998</v>
      </c>
      <c r="Y63" s="5"/>
      <c r="Z63" s="5"/>
      <c r="AA63" s="5"/>
    </row>
    <row r="64" spans="1:27" ht="63" x14ac:dyDescent="0.2">
      <c r="A64" s="17" t="s">
        <v>75</v>
      </c>
      <c r="B64" s="28" t="s">
        <v>76</v>
      </c>
      <c r="C64" s="28" t="s">
        <v>47</v>
      </c>
      <c r="D64" s="28" t="s">
        <v>55</v>
      </c>
      <c r="E64" s="28" t="s">
        <v>58</v>
      </c>
      <c r="F64" s="28" t="s">
        <v>56</v>
      </c>
      <c r="G64" s="28" t="s">
        <v>50</v>
      </c>
      <c r="H64" s="28" t="s">
        <v>123</v>
      </c>
      <c r="I64" s="28" t="s">
        <v>122</v>
      </c>
      <c r="J64" s="57">
        <v>3</v>
      </c>
      <c r="K64" s="29">
        <v>0</v>
      </c>
      <c r="L64" s="30">
        <v>2316293.66</v>
      </c>
      <c r="M64" s="30">
        <v>33538.949999999997</v>
      </c>
      <c r="N64" s="31">
        <f t="shared" si="6"/>
        <v>2282754.71</v>
      </c>
      <c r="O64" s="31"/>
      <c r="P64" s="31"/>
      <c r="Q64" s="31"/>
      <c r="R64" s="31">
        <f t="shared" si="7"/>
        <v>2282754.71</v>
      </c>
      <c r="S64" s="32">
        <v>1831294.17</v>
      </c>
      <c r="T64" s="33">
        <f t="shared" si="8"/>
        <v>0.80222993823107691</v>
      </c>
      <c r="U64" s="42">
        <v>258590.4</v>
      </c>
      <c r="V64" s="33">
        <f t="shared" si="9"/>
        <v>0.11327997654202628</v>
      </c>
      <c r="W64" s="30">
        <v>254851.4</v>
      </c>
      <c r="X64" s="33">
        <f t="shared" si="10"/>
        <v>0.11164204322241876</v>
      </c>
      <c r="Y64" s="5"/>
      <c r="Z64" s="5"/>
      <c r="AA64" s="5"/>
    </row>
    <row r="65" spans="1:27" ht="63" x14ac:dyDescent="0.2">
      <c r="A65" s="17" t="s">
        <v>75</v>
      </c>
      <c r="B65" s="28" t="s">
        <v>76</v>
      </c>
      <c r="C65" s="28" t="s">
        <v>47</v>
      </c>
      <c r="D65" s="28" t="s">
        <v>57</v>
      </c>
      <c r="E65" s="28" t="s">
        <v>58</v>
      </c>
      <c r="F65" s="28" t="s">
        <v>59</v>
      </c>
      <c r="G65" s="28" t="s">
        <v>50</v>
      </c>
      <c r="H65" s="28" t="s">
        <v>109</v>
      </c>
      <c r="I65" s="28" t="s">
        <v>119</v>
      </c>
      <c r="J65" s="57">
        <v>3</v>
      </c>
      <c r="K65" s="29">
        <v>20000</v>
      </c>
      <c r="L65" s="20">
        <v>0</v>
      </c>
      <c r="M65" s="20">
        <v>0</v>
      </c>
      <c r="N65" s="21">
        <f t="shared" si="6"/>
        <v>20000</v>
      </c>
      <c r="O65" s="21"/>
      <c r="P65" s="21"/>
      <c r="Q65" s="21"/>
      <c r="R65" s="21">
        <f t="shared" si="7"/>
        <v>20000</v>
      </c>
      <c r="S65" s="32">
        <v>9864.94</v>
      </c>
      <c r="T65" s="23">
        <f t="shared" si="8"/>
        <v>0.49324700000000005</v>
      </c>
      <c r="U65" s="42">
        <v>9864.94</v>
      </c>
      <c r="V65" s="23">
        <f t="shared" si="9"/>
        <v>0.49324700000000005</v>
      </c>
      <c r="W65" s="20">
        <v>9864.94</v>
      </c>
      <c r="X65" s="23">
        <f t="shared" si="10"/>
        <v>0.49324700000000005</v>
      </c>
      <c r="Y65" s="5"/>
      <c r="Z65" s="5"/>
      <c r="AA65" s="5"/>
    </row>
    <row r="66" spans="1:27" ht="63" x14ac:dyDescent="0.2">
      <c r="A66" s="17" t="s">
        <v>75</v>
      </c>
      <c r="B66" s="28" t="s">
        <v>76</v>
      </c>
      <c r="C66" s="28" t="s">
        <v>47</v>
      </c>
      <c r="D66" s="28" t="s">
        <v>57</v>
      </c>
      <c r="E66" s="28" t="s">
        <v>58</v>
      </c>
      <c r="F66" s="28" t="s">
        <v>59</v>
      </c>
      <c r="G66" s="28" t="s">
        <v>50</v>
      </c>
      <c r="H66" s="28" t="s">
        <v>121</v>
      </c>
      <c r="I66" s="28" t="s">
        <v>119</v>
      </c>
      <c r="J66" s="57">
        <v>3</v>
      </c>
      <c r="K66" s="29">
        <v>0</v>
      </c>
      <c r="L66" s="30">
        <v>6355000</v>
      </c>
      <c r="M66" s="30">
        <v>0</v>
      </c>
      <c r="N66" s="31">
        <f t="shared" si="6"/>
        <v>6355000</v>
      </c>
      <c r="O66" s="31"/>
      <c r="P66" s="31"/>
      <c r="Q66" s="31"/>
      <c r="R66" s="31">
        <f t="shared" si="7"/>
        <v>6355000</v>
      </c>
      <c r="S66" s="32">
        <v>3486561.21</v>
      </c>
      <c r="T66" s="33">
        <f t="shared" si="8"/>
        <v>0.54863276317859955</v>
      </c>
      <c r="U66" s="42">
        <v>3486561.21</v>
      </c>
      <c r="V66" s="33">
        <f t="shared" si="9"/>
        <v>0.54863276317859955</v>
      </c>
      <c r="W66" s="30">
        <v>3486561.21</v>
      </c>
      <c r="X66" s="33">
        <f t="shared" si="10"/>
        <v>0.54863276317859955</v>
      </c>
      <c r="Y66" s="5"/>
      <c r="Z66" s="5"/>
      <c r="AA66" s="5"/>
    </row>
    <row r="67" spans="1:27" ht="63" x14ac:dyDescent="0.2">
      <c r="A67" s="17" t="s">
        <v>75</v>
      </c>
      <c r="B67" s="28" t="s">
        <v>76</v>
      </c>
      <c r="C67" s="28" t="s">
        <v>47</v>
      </c>
      <c r="D67" s="28" t="s">
        <v>91</v>
      </c>
      <c r="E67" s="28" t="s">
        <v>58</v>
      </c>
      <c r="F67" s="28" t="s">
        <v>92</v>
      </c>
      <c r="G67" s="28" t="s">
        <v>50</v>
      </c>
      <c r="H67" s="28" t="s">
        <v>109</v>
      </c>
      <c r="I67" s="28" t="s">
        <v>119</v>
      </c>
      <c r="J67" s="57">
        <v>3</v>
      </c>
      <c r="K67" s="29">
        <f>38480000-K68</f>
        <v>37980000</v>
      </c>
      <c r="L67" s="20">
        <v>9534513.9800000004</v>
      </c>
      <c r="M67" s="20">
        <v>6416316.29</v>
      </c>
      <c r="N67" s="21">
        <f t="shared" si="6"/>
        <v>41098197.690000005</v>
      </c>
      <c r="O67" s="21"/>
      <c r="P67" s="21"/>
      <c r="Q67" s="21"/>
      <c r="R67" s="21">
        <f t="shared" si="7"/>
        <v>41098197.690000005</v>
      </c>
      <c r="S67" s="20">
        <f>39055720.45-S68</f>
        <v>38610875.460000001</v>
      </c>
      <c r="T67" s="23">
        <f t="shared" si="8"/>
        <v>0.93947855697318772</v>
      </c>
      <c r="U67" s="42">
        <f>38121079.08-U68</f>
        <v>37676234.089999996</v>
      </c>
      <c r="V67" s="23">
        <f t="shared" si="9"/>
        <v>0.91673689377301726</v>
      </c>
      <c r="W67" s="20">
        <f>37971187.05-W68</f>
        <v>37526342.059999995</v>
      </c>
      <c r="X67" s="23">
        <f t="shared" si="10"/>
        <v>0.91308972580884951</v>
      </c>
      <c r="Y67" s="5"/>
      <c r="Z67" s="5"/>
      <c r="AA67" s="5"/>
    </row>
    <row r="68" spans="1:27" ht="63" x14ac:dyDescent="0.2">
      <c r="A68" s="17" t="s">
        <v>75</v>
      </c>
      <c r="B68" s="28" t="s">
        <v>76</v>
      </c>
      <c r="C68" s="28" t="s">
        <v>47</v>
      </c>
      <c r="D68" s="28" t="s">
        <v>91</v>
      </c>
      <c r="E68" s="28" t="s">
        <v>58</v>
      </c>
      <c r="F68" s="28" t="s">
        <v>92</v>
      </c>
      <c r="G68" s="28" t="s">
        <v>50</v>
      </c>
      <c r="H68" s="28" t="s">
        <v>109</v>
      </c>
      <c r="I68" s="28" t="s">
        <v>119</v>
      </c>
      <c r="J68" s="39">
        <v>4</v>
      </c>
      <c r="K68" s="29">
        <f>500000</f>
        <v>500000</v>
      </c>
      <c r="L68" s="20">
        <v>0</v>
      </c>
      <c r="M68" s="20"/>
      <c r="N68" s="21">
        <f t="shared" si="6"/>
        <v>500000</v>
      </c>
      <c r="O68" s="21"/>
      <c r="P68" s="21"/>
      <c r="Q68" s="21"/>
      <c r="R68" s="21">
        <f t="shared" si="7"/>
        <v>500000</v>
      </c>
      <c r="S68" s="20">
        <f>10872+8850+86670.4+10700+14830+18597+44849.8+13216+100037.9+127121.89+9100</f>
        <v>444844.99</v>
      </c>
      <c r="T68" s="23">
        <f t="shared" si="8"/>
        <v>0.88968997999999999</v>
      </c>
      <c r="U68" s="41">
        <f>10872+8850+86670.4+10700+14830+18597+44849.8+13216+100037.9+127121.89+9100</f>
        <v>444844.99</v>
      </c>
      <c r="V68" s="23">
        <f t="shared" si="9"/>
        <v>0.88968997999999999</v>
      </c>
      <c r="W68" s="20">
        <f>10872+8850+86670.4+10700+14830+18597+44849.8+13216+100037.9+127121.89+9100</f>
        <v>444844.99</v>
      </c>
      <c r="X68" s="23">
        <f t="shared" si="10"/>
        <v>0.88968997999999999</v>
      </c>
      <c r="Y68" s="5"/>
      <c r="Z68" s="5"/>
      <c r="AA68" s="5"/>
    </row>
    <row r="69" spans="1:27" ht="63" x14ac:dyDescent="0.2">
      <c r="A69" s="17" t="s">
        <v>75</v>
      </c>
      <c r="B69" s="28" t="s">
        <v>76</v>
      </c>
      <c r="C69" s="28" t="s">
        <v>47</v>
      </c>
      <c r="D69" s="28" t="s">
        <v>91</v>
      </c>
      <c r="E69" s="28" t="s">
        <v>58</v>
      </c>
      <c r="F69" s="28" t="s">
        <v>92</v>
      </c>
      <c r="G69" s="28" t="s">
        <v>50</v>
      </c>
      <c r="H69" s="28" t="s">
        <v>121</v>
      </c>
      <c r="I69" s="28" t="s">
        <v>119</v>
      </c>
      <c r="J69" s="57">
        <v>3</v>
      </c>
      <c r="K69" s="29">
        <v>0</v>
      </c>
      <c r="L69" s="20">
        <f>11940607.21-L70</f>
        <v>11593440.210000001</v>
      </c>
      <c r="M69" s="20">
        <v>546565.25</v>
      </c>
      <c r="N69" s="21">
        <f t="shared" si="6"/>
        <v>11046874.960000001</v>
      </c>
      <c r="O69" s="21"/>
      <c r="P69" s="21"/>
      <c r="Q69" s="21"/>
      <c r="R69" s="21">
        <f t="shared" si="7"/>
        <v>11046874.960000001</v>
      </c>
      <c r="S69" s="30">
        <f>5531034.51-S70</f>
        <v>5310767.51</v>
      </c>
      <c r="T69" s="23">
        <f t="shared" si="8"/>
        <v>0.4807484043433039</v>
      </c>
      <c r="U69" s="42">
        <f>4561801-U70</f>
        <v>4341534</v>
      </c>
      <c r="V69" s="23">
        <f t="shared" si="9"/>
        <v>0.39301015135234224</v>
      </c>
      <c r="W69" s="20">
        <f>4533135.93-W70</f>
        <v>4312868.93</v>
      </c>
      <c r="X69" s="23">
        <f t="shared" si="10"/>
        <v>0.39041529352116422</v>
      </c>
      <c r="Y69" s="5"/>
      <c r="Z69" s="5"/>
      <c r="AA69" s="5"/>
    </row>
    <row r="70" spans="1:27" ht="63" x14ac:dyDescent="0.2">
      <c r="A70" s="17" t="s">
        <v>75</v>
      </c>
      <c r="B70" s="18" t="s">
        <v>76</v>
      </c>
      <c r="C70" s="18" t="s">
        <v>47</v>
      </c>
      <c r="D70" s="28" t="s">
        <v>91</v>
      </c>
      <c r="E70" s="28" t="s">
        <v>58</v>
      </c>
      <c r="F70" s="28" t="s">
        <v>92</v>
      </c>
      <c r="G70" s="18" t="s">
        <v>50</v>
      </c>
      <c r="H70" s="28" t="s">
        <v>121</v>
      </c>
      <c r="I70" s="28" t="s">
        <v>119</v>
      </c>
      <c r="J70" s="39">
        <v>4</v>
      </c>
      <c r="K70" s="29">
        <v>0</v>
      </c>
      <c r="L70" s="20">
        <v>347167</v>
      </c>
      <c r="M70" s="20">
        <v>0</v>
      </c>
      <c r="N70" s="21">
        <f t="shared" si="6"/>
        <v>347167</v>
      </c>
      <c r="O70" s="21"/>
      <c r="P70" s="21"/>
      <c r="Q70" s="21"/>
      <c r="R70" s="21">
        <f t="shared" si="7"/>
        <v>347167</v>
      </c>
      <c r="S70" s="30">
        <f>12900+165858+37909+3600</f>
        <v>220267</v>
      </c>
      <c r="T70" s="23">
        <f t="shared" si="8"/>
        <v>0.63446986608750255</v>
      </c>
      <c r="U70" s="41">
        <f>12900+165858+37909+3600</f>
        <v>220267</v>
      </c>
      <c r="V70" s="23">
        <f t="shared" si="9"/>
        <v>0.63446986608750255</v>
      </c>
      <c r="W70" s="20">
        <f>12900+165858+37909+3600</f>
        <v>220267</v>
      </c>
      <c r="X70" s="23">
        <f t="shared" si="10"/>
        <v>0.63446986608750255</v>
      </c>
      <c r="Y70" s="5"/>
      <c r="Z70" s="5"/>
      <c r="AA70" s="5"/>
    </row>
    <row r="71" spans="1:27" ht="63" customHeight="1" x14ac:dyDescent="0.2">
      <c r="A71" s="17" t="s">
        <v>75</v>
      </c>
      <c r="B71" s="18" t="s">
        <v>76</v>
      </c>
      <c r="C71" s="18" t="s">
        <v>47</v>
      </c>
      <c r="D71" s="18" t="s">
        <v>91</v>
      </c>
      <c r="E71" s="28" t="s">
        <v>58</v>
      </c>
      <c r="F71" s="28" t="s">
        <v>92</v>
      </c>
      <c r="G71" s="18" t="s">
        <v>50</v>
      </c>
      <c r="H71" s="28" t="s">
        <v>123</v>
      </c>
      <c r="I71" s="28" t="s">
        <v>122</v>
      </c>
      <c r="J71" s="57">
        <v>3</v>
      </c>
      <c r="K71" s="29">
        <v>0</v>
      </c>
      <c r="L71" s="20">
        <v>773.9</v>
      </c>
      <c r="M71" s="20">
        <v>0</v>
      </c>
      <c r="N71" s="21">
        <f t="shared" si="6"/>
        <v>773.9</v>
      </c>
      <c r="O71" s="21"/>
      <c r="P71" s="21"/>
      <c r="Q71" s="21"/>
      <c r="R71" s="21">
        <f t="shared" si="7"/>
        <v>773.9</v>
      </c>
      <c r="S71" s="30">
        <v>0</v>
      </c>
      <c r="T71" s="23">
        <f t="shared" si="8"/>
        <v>0</v>
      </c>
      <c r="U71" s="42">
        <v>0</v>
      </c>
      <c r="V71" s="23">
        <f t="shared" si="9"/>
        <v>0</v>
      </c>
      <c r="W71" s="20">
        <v>0</v>
      </c>
      <c r="X71" s="23">
        <f t="shared" si="10"/>
        <v>0</v>
      </c>
      <c r="Y71" s="5"/>
      <c r="Z71" s="5"/>
      <c r="AA71" s="5"/>
    </row>
    <row r="72" spans="1:27" ht="63" customHeight="1" x14ac:dyDescent="0.2">
      <c r="A72" s="17" t="s">
        <v>75</v>
      </c>
      <c r="B72" s="18" t="s">
        <v>76</v>
      </c>
      <c r="C72" s="18" t="s">
        <v>47</v>
      </c>
      <c r="D72" s="18" t="s">
        <v>93</v>
      </c>
      <c r="E72" s="28" t="s">
        <v>58</v>
      </c>
      <c r="F72" s="18" t="s">
        <v>94</v>
      </c>
      <c r="G72" s="18" t="s">
        <v>50</v>
      </c>
      <c r="H72" s="18" t="s">
        <v>109</v>
      </c>
      <c r="I72" s="28" t="s">
        <v>119</v>
      </c>
      <c r="J72" s="57">
        <v>3</v>
      </c>
      <c r="K72" s="29">
        <v>600000</v>
      </c>
      <c r="L72" s="20">
        <v>42000</v>
      </c>
      <c r="M72" s="20">
        <v>42000</v>
      </c>
      <c r="N72" s="21">
        <f t="shared" si="6"/>
        <v>600000</v>
      </c>
      <c r="O72" s="21"/>
      <c r="P72" s="21"/>
      <c r="Q72" s="21"/>
      <c r="R72" s="21">
        <f t="shared" si="7"/>
        <v>600000</v>
      </c>
      <c r="S72" s="30">
        <v>432257.16</v>
      </c>
      <c r="T72" s="23">
        <f t="shared" si="8"/>
        <v>0.72042859999999997</v>
      </c>
      <c r="U72" s="42">
        <v>432257.16</v>
      </c>
      <c r="V72" s="23">
        <f t="shared" si="9"/>
        <v>0.72042859999999997</v>
      </c>
      <c r="W72" s="20">
        <v>432257.16</v>
      </c>
      <c r="X72" s="23">
        <f t="shared" si="10"/>
        <v>0.72042859999999997</v>
      </c>
      <c r="Y72" s="5"/>
      <c r="Z72" s="5"/>
      <c r="AA72" s="5"/>
    </row>
    <row r="73" spans="1:27" ht="63" customHeight="1" x14ac:dyDescent="0.2">
      <c r="A73" s="17" t="s">
        <v>75</v>
      </c>
      <c r="B73" s="18" t="s">
        <v>76</v>
      </c>
      <c r="C73" s="18" t="s">
        <v>47</v>
      </c>
      <c r="D73" s="18" t="s">
        <v>93</v>
      </c>
      <c r="E73" s="28" t="s">
        <v>58</v>
      </c>
      <c r="F73" s="18" t="s">
        <v>94</v>
      </c>
      <c r="G73" s="18" t="s">
        <v>50</v>
      </c>
      <c r="H73" s="18" t="s">
        <v>121</v>
      </c>
      <c r="I73" s="28" t="s">
        <v>119</v>
      </c>
      <c r="J73" s="57">
        <v>3</v>
      </c>
      <c r="K73" s="29">
        <v>0</v>
      </c>
      <c r="L73" s="20">
        <v>360600</v>
      </c>
      <c r="M73" s="20">
        <v>600</v>
      </c>
      <c r="N73" s="21">
        <f t="shared" si="6"/>
        <v>360000</v>
      </c>
      <c r="O73" s="21"/>
      <c r="P73" s="21"/>
      <c r="Q73" s="21"/>
      <c r="R73" s="21">
        <f t="shared" si="7"/>
        <v>360000</v>
      </c>
      <c r="S73" s="30">
        <v>268946.92</v>
      </c>
      <c r="T73" s="23">
        <f t="shared" si="8"/>
        <v>0.74707477777777775</v>
      </c>
      <c r="U73" s="42">
        <v>268946.92</v>
      </c>
      <c r="V73" s="23">
        <f t="shared" si="9"/>
        <v>0.74707477777777775</v>
      </c>
      <c r="W73" s="20">
        <v>268946.92</v>
      </c>
      <c r="X73" s="23">
        <f t="shared" si="10"/>
        <v>0.74707477777777775</v>
      </c>
      <c r="Y73" s="5"/>
      <c r="Z73" s="5"/>
      <c r="AA73" s="5"/>
    </row>
    <row r="74" spans="1:27" ht="63" customHeight="1" x14ac:dyDescent="0.2">
      <c r="A74" s="17" t="s">
        <v>75</v>
      </c>
      <c r="B74" s="18" t="s">
        <v>76</v>
      </c>
      <c r="C74" s="18" t="s">
        <v>47</v>
      </c>
      <c r="D74" s="18" t="s">
        <v>63</v>
      </c>
      <c r="E74" s="28" t="s">
        <v>58</v>
      </c>
      <c r="F74" s="18" t="s">
        <v>64</v>
      </c>
      <c r="G74" s="18" t="s">
        <v>50</v>
      </c>
      <c r="H74" s="18" t="s">
        <v>109</v>
      </c>
      <c r="I74" s="28" t="s">
        <v>119</v>
      </c>
      <c r="J74" s="57">
        <v>3</v>
      </c>
      <c r="K74" s="29">
        <v>15000</v>
      </c>
      <c r="L74" s="20">
        <v>0</v>
      </c>
      <c r="M74" s="20">
        <v>0</v>
      </c>
      <c r="N74" s="21">
        <f t="shared" si="6"/>
        <v>15000</v>
      </c>
      <c r="O74" s="21"/>
      <c r="P74" s="21"/>
      <c r="Q74" s="21"/>
      <c r="R74" s="21">
        <f t="shared" si="7"/>
        <v>15000</v>
      </c>
      <c r="S74" s="30">
        <v>0</v>
      </c>
      <c r="T74" s="23">
        <f t="shared" si="8"/>
        <v>0</v>
      </c>
      <c r="U74" s="42">
        <v>0</v>
      </c>
      <c r="V74" s="23">
        <f t="shared" si="9"/>
        <v>0</v>
      </c>
      <c r="W74" s="20">
        <v>0</v>
      </c>
      <c r="X74" s="23">
        <f t="shared" si="10"/>
        <v>0</v>
      </c>
      <c r="Y74" s="5"/>
      <c r="Z74" s="5"/>
      <c r="AA74" s="5"/>
    </row>
    <row r="75" spans="1:27" ht="63" customHeight="1" x14ac:dyDescent="0.2">
      <c r="A75" s="17" t="s">
        <v>75</v>
      </c>
      <c r="B75" s="28" t="s">
        <v>76</v>
      </c>
      <c r="C75" s="28" t="s">
        <v>47</v>
      </c>
      <c r="D75" s="28" t="s">
        <v>63</v>
      </c>
      <c r="E75" s="28" t="s">
        <v>58</v>
      </c>
      <c r="F75" s="28" t="s">
        <v>64</v>
      </c>
      <c r="G75" s="28" t="s">
        <v>50</v>
      </c>
      <c r="H75" s="28" t="s">
        <v>121</v>
      </c>
      <c r="I75" s="28" t="s">
        <v>119</v>
      </c>
      <c r="J75" s="57">
        <v>3</v>
      </c>
      <c r="K75" s="29">
        <v>0</v>
      </c>
      <c r="L75" s="30">
        <v>6196000</v>
      </c>
      <c r="M75" s="30">
        <v>0</v>
      </c>
      <c r="N75" s="31">
        <f t="shared" si="6"/>
        <v>6196000</v>
      </c>
      <c r="O75" s="31"/>
      <c r="P75" s="31"/>
      <c r="Q75" s="31"/>
      <c r="R75" s="31">
        <f t="shared" si="7"/>
        <v>6196000</v>
      </c>
      <c r="S75" s="30">
        <v>5720970.1900000004</v>
      </c>
      <c r="T75" s="33">
        <f t="shared" si="8"/>
        <v>0.92333282601678512</v>
      </c>
      <c r="U75" s="42">
        <v>5720970.1900000004</v>
      </c>
      <c r="V75" s="33">
        <f t="shared" si="9"/>
        <v>0.92333282601678512</v>
      </c>
      <c r="W75" s="30">
        <v>5720970.1900000004</v>
      </c>
      <c r="X75" s="33">
        <f t="shared" si="10"/>
        <v>0.92333282601678512</v>
      </c>
      <c r="Y75" s="5"/>
      <c r="Z75" s="5"/>
      <c r="AA75" s="5"/>
    </row>
    <row r="76" spans="1:27" ht="63" customHeight="1" x14ac:dyDescent="0.2">
      <c r="A76" s="17" t="s">
        <v>75</v>
      </c>
      <c r="B76" s="28" t="s">
        <v>76</v>
      </c>
      <c r="C76" s="28" t="s">
        <v>95</v>
      </c>
      <c r="D76" s="28" t="s">
        <v>96</v>
      </c>
      <c r="E76" s="28" t="s">
        <v>78</v>
      </c>
      <c r="F76" s="28" t="s">
        <v>97</v>
      </c>
      <c r="G76" s="28" t="s">
        <v>50</v>
      </c>
      <c r="H76" s="28" t="s">
        <v>109</v>
      </c>
      <c r="I76" s="28" t="s">
        <v>119</v>
      </c>
      <c r="J76" s="57">
        <v>3</v>
      </c>
      <c r="K76" s="29">
        <f>21000000-K77</f>
        <v>20000000</v>
      </c>
      <c r="L76" s="30">
        <f>5001332.77-L77</f>
        <v>1699672.7699999996</v>
      </c>
      <c r="M76" s="30">
        <f>4890332.77-M77</f>
        <v>4364332.7699999996</v>
      </c>
      <c r="N76" s="31">
        <f t="shared" si="6"/>
        <v>17335340</v>
      </c>
      <c r="O76" s="31"/>
      <c r="P76" s="31"/>
      <c r="Q76" s="31"/>
      <c r="R76" s="31">
        <f t="shared" si="7"/>
        <v>17335340</v>
      </c>
      <c r="S76" s="30">
        <f>17692197.07-S77</f>
        <v>13916537.07</v>
      </c>
      <c r="T76" s="33">
        <f t="shared" si="8"/>
        <v>0.80278420094442915</v>
      </c>
      <c r="U76" s="42">
        <f>17007790.79-U77</f>
        <v>13232130.789999999</v>
      </c>
      <c r="V76" s="33">
        <f t="shared" si="9"/>
        <v>0.76330379386847902</v>
      </c>
      <c r="W76" s="30">
        <f>17007790.79-W77</f>
        <v>13232130.789999999</v>
      </c>
      <c r="X76" s="33">
        <f t="shared" si="10"/>
        <v>0.76330379386847902</v>
      </c>
      <c r="Y76" s="5"/>
      <c r="Z76" s="5"/>
      <c r="AA76" s="5"/>
    </row>
    <row r="77" spans="1:27" ht="63" customHeight="1" x14ac:dyDescent="0.2">
      <c r="A77" s="17" t="s">
        <v>75</v>
      </c>
      <c r="B77" s="18" t="s">
        <v>76</v>
      </c>
      <c r="C77" s="18" t="s">
        <v>95</v>
      </c>
      <c r="D77" s="18" t="s">
        <v>96</v>
      </c>
      <c r="E77" s="28" t="s">
        <v>78</v>
      </c>
      <c r="F77" s="18" t="s">
        <v>97</v>
      </c>
      <c r="G77" s="18" t="s">
        <v>50</v>
      </c>
      <c r="H77" s="18" t="s">
        <v>109</v>
      </c>
      <c r="I77" s="28" t="s">
        <v>119</v>
      </c>
      <c r="J77" s="39">
        <v>4</v>
      </c>
      <c r="K77" s="29">
        <v>1000000</v>
      </c>
      <c r="L77" s="20">
        <f>2246300+1055360</f>
        <v>3301660</v>
      </c>
      <c r="M77" s="20">
        <v>526000</v>
      </c>
      <c r="N77" s="21">
        <f t="shared" si="6"/>
        <v>3775660</v>
      </c>
      <c r="O77" s="21"/>
      <c r="P77" s="21"/>
      <c r="Q77" s="21"/>
      <c r="R77" s="21">
        <f t="shared" si="7"/>
        <v>3775660</v>
      </c>
      <c r="S77" s="30">
        <f>2246300+1529360</f>
        <v>3775660</v>
      </c>
      <c r="T77" s="23">
        <f t="shared" si="8"/>
        <v>1</v>
      </c>
      <c r="U77" s="41">
        <f>2246300+1529360</f>
        <v>3775660</v>
      </c>
      <c r="V77" s="23">
        <f t="shared" si="9"/>
        <v>1</v>
      </c>
      <c r="W77" s="20">
        <f>2246300+1529360</f>
        <v>3775660</v>
      </c>
      <c r="X77" s="23">
        <f t="shared" si="10"/>
        <v>1</v>
      </c>
      <c r="Y77" s="5"/>
      <c r="Z77" s="5"/>
      <c r="AA77" s="5"/>
    </row>
    <row r="78" spans="1:27" ht="63" customHeight="1" x14ac:dyDescent="0.2">
      <c r="A78" s="17" t="s">
        <v>75</v>
      </c>
      <c r="B78" s="18" t="s">
        <v>76</v>
      </c>
      <c r="C78" s="18" t="s">
        <v>95</v>
      </c>
      <c r="D78" s="28" t="s">
        <v>96</v>
      </c>
      <c r="E78" s="28" t="s">
        <v>78</v>
      </c>
      <c r="F78" s="18" t="s">
        <v>97</v>
      </c>
      <c r="G78" s="18" t="s">
        <v>50</v>
      </c>
      <c r="H78" s="18" t="s">
        <v>121</v>
      </c>
      <c r="I78" s="28" t="s">
        <v>119</v>
      </c>
      <c r="J78" s="57">
        <v>3</v>
      </c>
      <c r="K78" s="29">
        <v>0</v>
      </c>
      <c r="L78" s="20">
        <f>100000+1260000</f>
        <v>1360000</v>
      </c>
      <c r="M78" s="20">
        <v>0</v>
      </c>
      <c r="N78" s="21">
        <f t="shared" si="6"/>
        <v>1360000</v>
      </c>
      <c r="O78" s="21"/>
      <c r="P78" s="21"/>
      <c r="Q78" s="21"/>
      <c r="R78" s="21">
        <f t="shared" si="7"/>
        <v>1360000</v>
      </c>
      <c r="S78" s="30">
        <f>6900931.14-S79</f>
        <v>1315141.1399999997</v>
      </c>
      <c r="T78" s="23">
        <f t="shared" si="8"/>
        <v>0.96701554411764679</v>
      </c>
      <c r="U78" s="42">
        <f>6342280.62-U79</f>
        <v>756490.62000000011</v>
      </c>
      <c r="V78" s="23">
        <f t="shared" si="9"/>
        <v>0.55624310294117651</v>
      </c>
      <c r="W78" s="20">
        <f>6342280.62-W79</f>
        <v>756490.62000000011</v>
      </c>
      <c r="X78" s="23">
        <f t="shared" si="10"/>
        <v>0.55624310294117651</v>
      </c>
      <c r="Y78" s="5"/>
      <c r="Z78" s="5"/>
      <c r="AA78" s="5"/>
    </row>
    <row r="79" spans="1:27" ht="63" customHeight="1" x14ac:dyDescent="0.2">
      <c r="A79" s="17" t="s">
        <v>75</v>
      </c>
      <c r="B79" s="18" t="s">
        <v>76</v>
      </c>
      <c r="C79" s="18" t="s">
        <v>95</v>
      </c>
      <c r="D79" s="28" t="s">
        <v>96</v>
      </c>
      <c r="E79" s="28" t="s">
        <v>78</v>
      </c>
      <c r="F79" s="18" t="s">
        <v>97</v>
      </c>
      <c r="G79" s="18" t="s">
        <v>50</v>
      </c>
      <c r="H79" s="18" t="s">
        <v>121</v>
      </c>
      <c r="I79" s="28" t="s">
        <v>119</v>
      </c>
      <c r="J79" s="39">
        <v>4</v>
      </c>
      <c r="K79" s="29">
        <v>0</v>
      </c>
      <c r="L79" s="20">
        <v>5602050</v>
      </c>
      <c r="M79" s="20">
        <v>0</v>
      </c>
      <c r="N79" s="21">
        <f t="shared" si="6"/>
        <v>5602050</v>
      </c>
      <c r="O79" s="21"/>
      <c r="P79" s="21"/>
      <c r="Q79" s="21"/>
      <c r="R79" s="21">
        <f t="shared" si="7"/>
        <v>5602050</v>
      </c>
      <c r="S79" s="30">
        <f>5585790</f>
        <v>5585790</v>
      </c>
      <c r="T79" s="23">
        <f t="shared" si="8"/>
        <v>0.99709749109700918</v>
      </c>
      <c r="U79" s="41">
        <f>5585790</f>
        <v>5585790</v>
      </c>
      <c r="V79" s="23">
        <f t="shared" si="9"/>
        <v>0.99709749109700918</v>
      </c>
      <c r="W79" s="20">
        <f>5585790</f>
        <v>5585790</v>
      </c>
      <c r="X79" s="23">
        <f t="shared" si="10"/>
        <v>0.99709749109700918</v>
      </c>
      <c r="Y79" s="5"/>
      <c r="Z79" s="5"/>
      <c r="AA79" s="5"/>
    </row>
    <row r="80" spans="1:27" ht="63" customHeight="1" x14ac:dyDescent="0.2">
      <c r="A80" s="17" t="s">
        <v>75</v>
      </c>
      <c r="B80" s="18" t="s">
        <v>76</v>
      </c>
      <c r="C80" s="18" t="s">
        <v>95</v>
      </c>
      <c r="D80" s="18" t="s">
        <v>98</v>
      </c>
      <c r="E80" s="28" t="s">
        <v>58</v>
      </c>
      <c r="F80" s="18" t="s">
        <v>99</v>
      </c>
      <c r="G80" s="18" t="s">
        <v>50</v>
      </c>
      <c r="H80" s="18" t="s">
        <v>109</v>
      </c>
      <c r="I80" s="28" t="s">
        <v>119</v>
      </c>
      <c r="J80" s="57">
        <v>3</v>
      </c>
      <c r="K80" s="29">
        <f>8700000-K81</f>
        <v>8000000</v>
      </c>
      <c r="L80" s="20">
        <f>1009252.44-L81</f>
        <v>592252.43999999994</v>
      </c>
      <c r="M80" s="20">
        <f>1765449.68-M81</f>
        <v>1306197.24</v>
      </c>
      <c r="N80" s="21">
        <f t="shared" si="6"/>
        <v>7286055.1999999993</v>
      </c>
      <c r="O80" s="21"/>
      <c r="P80" s="21"/>
      <c r="Q80" s="21"/>
      <c r="R80" s="21">
        <f t="shared" si="7"/>
        <v>7286055.1999999993</v>
      </c>
      <c r="S80" s="30">
        <f>3872003.57-S81</f>
        <v>3763094.57</v>
      </c>
      <c r="T80" s="23">
        <f t="shared" si="8"/>
        <v>0.51647900910769939</v>
      </c>
      <c r="U80" s="42">
        <f>3553162.15-U81</f>
        <v>3444253.15</v>
      </c>
      <c r="V80" s="23">
        <f t="shared" si="9"/>
        <v>0.47271850891275163</v>
      </c>
      <c r="W80" s="20">
        <f>3553162.15-W81</f>
        <v>3444253.15</v>
      </c>
      <c r="X80" s="23">
        <f t="shared" si="10"/>
        <v>0.47271850891275163</v>
      </c>
      <c r="Y80" s="5"/>
      <c r="Z80" s="5"/>
      <c r="AA80" s="5"/>
    </row>
    <row r="81" spans="1:27" ht="63" customHeight="1" x14ac:dyDescent="0.2">
      <c r="A81" s="17" t="s">
        <v>75</v>
      </c>
      <c r="B81" s="18" t="s">
        <v>76</v>
      </c>
      <c r="C81" s="18" t="s">
        <v>95</v>
      </c>
      <c r="D81" s="18" t="s">
        <v>98</v>
      </c>
      <c r="E81" s="28" t="s">
        <v>58</v>
      </c>
      <c r="F81" s="18" t="s">
        <v>99</v>
      </c>
      <c r="G81" s="18" t="s">
        <v>50</v>
      </c>
      <c r="H81" s="18" t="s">
        <v>109</v>
      </c>
      <c r="I81" s="28" t="s">
        <v>119</v>
      </c>
      <c r="J81" s="39">
        <v>4</v>
      </c>
      <c r="K81" s="29">
        <f>200000+500000</f>
        <v>700000</v>
      </c>
      <c r="L81" s="20">
        <v>417000</v>
      </c>
      <c r="M81" s="20">
        <f>125252.44+334000</f>
        <v>459252.44</v>
      </c>
      <c r="N81" s="21">
        <f t="shared" si="6"/>
        <v>657747.56000000006</v>
      </c>
      <c r="O81" s="21"/>
      <c r="P81" s="21"/>
      <c r="Q81" s="21"/>
      <c r="R81" s="21">
        <f t="shared" si="7"/>
        <v>657747.56000000006</v>
      </c>
      <c r="S81" s="30">
        <f>108909</f>
        <v>108909</v>
      </c>
      <c r="T81" s="23">
        <f t="shared" si="8"/>
        <v>0.16557872141707372</v>
      </c>
      <c r="U81" s="41">
        <f>108909</f>
        <v>108909</v>
      </c>
      <c r="V81" s="23">
        <f t="shared" si="9"/>
        <v>0.16557872141707372</v>
      </c>
      <c r="W81" s="20">
        <f>108909</f>
        <v>108909</v>
      </c>
      <c r="X81" s="23">
        <f t="shared" si="10"/>
        <v>0.16557872141707372</v>
      </c>
      <c r="Y81" s="5"/>
      <c r="Z81" s="5"/>
      <c r="AA81" s="5"/>
    </row>
    <row r="82" spans="1:27" ht="63" customHeight="1" x14ac:dyDescent="0.2">
      <c r="A82" s="17" t="s">
        <v>75</v>
      </c>
      <c r="B82" s="18" t="s">
        <v>76</v>
      </c>
      <c r="C82" s="18" t="s">
        <v>95</v>
      </c>
      <c r="D82" s="18" t="s">
        <v>98</v>
      </c>
      <c r="E82" s="28" t="s">
        <v>58</v>
      </c>
      <c r="F82" s="18" t="s">
        <v>99</v>
      </c>
      <c r="G82" s="18" t="s">
        <v>50</v>
      </c>
      <c r="H82" s="18" t="s">
        <v>121</v>
      </c>
      <c r="I82" s="28" t="s">
        <v>119</v>
      </c>
      <c r="J82" s="57">
        <v>3</v>
      </c>
      <c r="K82" s="29">
        <v>0</v>
      </c>
      <c r="L82" s="20">
        <f>14179335.33-L83</f>
        <v>11323701.33</v>
      </c>
      <c r="M82" s="20">
        <f>40000</f>
        <v>40000</v>
      </c>
      <c r="N82" s="21">
        <f t="shared" si="6"/>
        <v>11283701.33</v>
      </c>
      <c r="O82" s="21"/>
      <c r="P82" s="21"/>
      <c r="Q82" s="21"/>
      <c r="R82" s="21">
        <f t="shared" si="7"/>
        <v>11283701.33</v>
      </c>
      <c r="S82" s="30">
        <f>11554713.46-S83</f>
        <v>8699079.4600000009</v>
      </c>
      <c r="T82" s="23">
        <f t="shared" si="8"/>
        <v>0.77094201677172547</v>
      </c>
      <c r="U82" s="42">
        <f>7869228.99-U83</f>
        <v>6210034.9900000002</v>
      </c>
      <c r="V82" s="23">
        <f t="shared" si="9"/>
        <v>0.55035442789409605</v>
      </c>
      <c r="W82" s="20">
        <f>7869228.99-W83</f>
        <v>6210034.9900000002</v>
      </c>
      <c r="X82" s="23">
        <f t="shared" si="10"/>
        <v>0.55035442789409605</v>
      </c>
      <c r="Y82" s="5"/>
      <c r="Z82" s="5"/>
      <c r="AA82" s="5"/>
    </row>
    <row r="83" spans="1:27" ht="63" customHeight="1" x14ac:dyDescent="0.2">
      <c r="A83" s="17" t="s">
        <v>75</v>
      </c>
      <c r="B83" s="18" t="s">
        <v>76</v>
      </c>
      <c r="C83" s="18" t="s">
        <v>95</v>
      </c>
      <c r="D83" s="18" t="s">
        <v>98</v>
      </c>
      <c r="E83" s="28" t="s">
        <v>58</v>
      </c>
      <c r="F83" s="18" t="s">
        <v>99</v>
      </c>
      <c r="G83" s="18" t="s">
        <v>50</v>
      </c>
      <c r="H83" s="18" t="s">
        <v>121</v>
      </c>
      <c r="I83" s="28" t="s">
        <v>119</v>
      </c>
      <c r="J83" s="39">
        <v>4</v>
      </c>
      <c r="K83" s="29">
        <v>0</v>
      </c>
      <c r="L83" s="20">
        <v>2855634</v>
      </c>
      <c r="M83" s="20">
        <v>0</v>
      </c>
      <c r="N83" s="21">
        <f t="shared" si="6"/>
        <v>2855634</v>
      </c>
      <c r="O83" s="21"/>
      <c r="P83" s="21"/>
      <c r="Q83" s="21"/>
      <c r="R83" s="21">
        <f t="shared" si="7"/>
        <v>2855634</v>
      </c>
      <c r="S83" s="30">
        <v>2855634</v>
      </c>
      <c r="T83" s="23">
        <f t="shared" si="8"/>
        <v>1</v>
      </c>
      <c r="U83" s="41">
        <v>1659194</v>
      </c>
      <c r="V83" s="23">
        <f t="shared" si="9"/>
        <v>0.58102473916475295</v>
      </c>
      <c r="W83" s="20">
        <v>1659194</v>
      </c>
      <c r="X83" s="23">
        <f t="shared" si="10"/>
        <v>0.58102473916475295</v>
      </c>
      <c r="Y83" s="5"/>
      <c r="Z83" s="5"/>
      <c r="AA83" s="5"/>
    </row>
    <row r="84" spans="1:27" ht="63" customHeight="1" x14ac:dyDescent="0.2">
      <c r="A84" s="17" t="s">
        <v>75</v>
      </c>
      <c r="B84" s="18" t="s">
        <v>76</v>
      </c>
      <c r="C84" s="18" t="s">
        <v>65</v>
      </c>
      <c r="D84" s="18" t="s">
        <v>66</v>
      </c>
      <c r="E84" s="28" t="s">
        <v>58</v>
      </c>
      <c r="F84" s="18" t="s">
        <v>100</v>
      </c>
      <c r="G84" s="18" t="s">
        <v>50</v>
      </c>
      <c r="H84" s="18" t="s">
        <v>112</v>
      </c>
      <c r="I84" s="18" t="s">
        <v>122</v>
      </c>
      <c r="J84" s="57">
        <v>3</v>
      </c>
      <c r="K84" s="29">
        <v>998000</v>
      </c>
      <c r="L84" s="20">
        <v>621823</v>
      </c>
      <c r="M84" s="20">
        <v>621823</v>
      </c>
      <c r="N84" s="21">
        <f t="shared" si="6"/>
        <v>998000</v>
      </c>
      <c r="O84" s="21"/>
      <c r="P84" s="21"/>
      <c r="Q84" s="21"/>
      <c r="R84" s="21">
        <f t="shared" si="7"/>
        <v>998000</v>
      </c>
      <c r="S84" s="30">
        <v>709345</v>
      </c>
      <c r="T84" s="23">
        <f t="shared" si="8"/>
        <v>0.71076653306613224</v>
      </c>
      <c r="U84" s="42">
        <v>653570</v>
      </c>
      <c r="V84" s="23">
        <f t="shared" si="9"/>
        <v>0.6548797595190381</v>
      </c>
      <c r="W84" s="20">
        <v>651563.18000000005</v>
      </c>
      <c r="X84" s="23">
        <f t="shared" si="10"/>
        <v>0.65286891783567136</v>
      </c>
      <c r="Y84" s="5"/>
      <c r="Z84" s="5"/>
      <c r="AA84" s="5"/>
    </row>
    <row r="85" spans="1:27" ht="63" customHeight="1" x14ac:dyDescent="0.2">
      <c r="A85" s="17" t="s">
        <v>75</v>
      </c>
      <c r="B85" s="18" t="s">
        <v>76</v>
      </c>
      <c r="C85" s="18" t="s">
        <v>65</v>
      </c>
      <c r="D85" s="18" t="s">
        <v>66</v>
      </c>
      <c r="E85" s="28" t="s">
        <v>58</v>
      </c>
      <c r="F85" s="18" t="s">
        <v>100</v>
      </c>
      <c r="G85" s="18" t="s">
        <v>50</v>
      </c>
      <c r="H85" s="18" t="s">
        <v>123</v>
      </c>
      <c r="I85" s="18" t="s">
        <v>122</v>
      </c>
      <c r="J85" s="57">
        <v>3</v>
      </c>
      <c r="K85" s="29">
        <v>0</v>
      </c>
      <c r="L85" s="20">
        <f>1450516.7-L86</f>
        <v>1429016.7</v>
      </c>
      <c r="M85" s="20">
        <f>102961</f>
        <v>102961</v>
      </c>
      <c r="N85" s="21">
        <f t="shared" si="6"/>
        <v>1326055.7</v>
      </c>
      <c r="O85" s="21"/>
      <c r="P85" s="21"/>
      <c r="Q85" s="21"/>
      <c r="R85" s="21">
        <f t="shared" si="7"/>
        <v>1326055.7</v>
      </c>
      <c r="S85" s="30">
        <v>1129553.46</v>
      </c>
      <c r="T85" s="23">
        <f t="shared" si="8"/>
        <v>0.85181449014547428</v>
      </c>
      <c r="U85" s="42">
        <v>1066632.46</v>
      </c>
      <c r="V85" s="23">
        <f t="shared" si="9"/>
        <v>0.80436474878091468</v>
      </c>
      <c r="W85" s="20">
        <v>1061753.4099999999</v>
      </c>
      <c r="X85" s="23">
        <f t="shared" si="10"/>
        <v>0.80068537844978904</v>
      </c>
      <c r="Y85" s="5"/>
      <c r="Z85" s="5"/>
      <c r="AA85" s="5"/>
    </row>
    <row r="86" spans="1:27" ht="63" customHeight="1" x14ac:dyDescent="0.2">
      <c r="A86" s="17" t="s">
        <v>75</v>
      </c>
      <c r="B86" s="18" t="s">
        <v>76</v>
      </c>
      <c r="C86" s="18" t="s">
        <v>65</v>
      </c>
      <c r="D86" s="18" t="s">
        <v>66</v>
      </c>
      <c r="E86" s="28" t="s">
        <v>58</v>
      </c>
      <c r="F86" s="18" t="s">
        <v>100</v>
      </c>
      <c r="G86" s="18" t="s">
        <v>50</v>
      </c>
      <c r="H86" s="18" t="s">
        <v>123</v>
      </c>
      <c r="I86" s="18" t="s">
        <v>122</v>
      </c>
      <c r="J86" s="39">
        <v>4</v>
      </c>
      <c r="K86" s="29">
        <v>0</v>
      </c>
      <c r="L86" s="20">
        <v>21500</v>
      </c>
      <c r="M86" s="20">
        <v>0</v>
      </c>
      <c r="N86" s="21">
        <f t="shared" si="6"/>
        <v>21500</v>
      </c>
      <c r="O86" s="21"/>
      <c r="P86" s="21"/>
      <c r="Q86" s="21"/>
      <c r="R86" s="21">
        <f t="shared" si="7"/>
        <v>21500</v>
      </c>
      <c r="S86" s="30">
        <v>0</v>
      </c>
      <c r="T86" s="23">
        <f t="shared" si="8"/>
        <v>0</v>
      </c>
      <c r="U86" s="41">
        <v>0</v>
      </c>
      <c r="V86" s="23">
        <f t="shared" si="9"/>
        <v>0</v>
      </c>
      <c r="W86" s="20">
        <v>0</v>
      </c>
      <c r="X86" s="23">
        <f t="shared" si="10"/>
        <v>0</v>
      </c>
      <c r="Y86" s="5"/>
      <c r="Z86" s="5"/>
      <c r="AA86" s="5"/>
    </row>
    <row r="87" spans="1:27" ht="15.75" customHeight="1" x14ac:dyDescent="0.2">
      <c r="A87" s="76" t="s">
        <v>101</v>
      </c>
      <c r="B87" s="64"/>
      <c r="C87" s="64"/>
      <c r="D87" s="64"/>
      <c r="E87" s="64"/>
      <c r="F87" s="64"/>
      <c r="G87" s="64"/>
      <c r="H87" s="64"/>
      <c r="I87" s="64"/>
      <c r="J87" s="65"/>
      <c r="K87" s="34">
        <f t="shared" ref="K87:N87" si="11">SUM(K38:K86)</f>
        <v>151078000</v>
      </c>
      <c r="L87" s="34">
        <f t="shared" si="11"/>
        <v>159541654.47</v>
      </c>
      <c r="M87" s="34">
        <f t="shared" si="11"/>
        <v>49235609.910000004</v>
      </c>
      <c r="N87" s="34">
        <f t="shared" si="11"/>
        <v>261384044.56</v>
      </c>
      <c r="O87" s="34">
        <f t="shared" ref="O87:Q87" si="12">SUM(O38:O84)</f>
        <v>0</v>
      </c>
      <c r="P87" s="34">
        <f t="shared" si="12"/>
        <v>0</v>
      </c>
      <c r="Q87" s="34">
        <f t="shared" si="12"/>
        <v>0</v>
      </c>
      <c r="R87" s="34">
        <f t="shared" ref="R87:S87" si="13">SUM(R38:R86)</f>
        <v>261384044.56</v>
      </c>
      <c r="S87" s="34">
        <f t="shared" si="13"/>
        <v>189626855.36999997</v>
      </c>
      <c r="T87" s="35">
        <f t="shared" si="8"/>
        <v>0.72547219050500089</v>
      </c>
      <c r="U87" s="34">
        <f>SUM(U38:U86)</f>
        <v>167217439.38</v>
      </c>
      <c r="V87" s="35">
        <f t="shared" si="9"/>
        <v>0.63973851067108911</v>
      </c>
      <c r="W87" s="34">
        <f>SUM(W38:W86)</f>
        <v>166821045.47</v>
      </c>
      <c r="X87" s="35">
        <f t="shared" si="10"/>
        <v>0.6382219915175682</v>
      </c>
      <c r="Y87" s="5"/>
      <c r="Z87" s="5"/>
      <c r="AA87" s="5"/>
    </row>
    <row r="88" spans="1:27" ht="15.75" customHeight="1" x14ac:dyDescent="0.2">
      <c r="A88" s="77" t="s">
        <v>102</v>
      </c>
      <c r="B88" s="64"/>
      <c r="C88" s="64"/>
      <c r="D88" s="64"/>
      <c r="E88" s="64"/>
      <c r="F88" s="64"/>
      <c r="G88" s="64"/>
      <c r="H88" s="64"/>
      <c r="I88" s="64"/>
      <c r="J88" s="65"/>
      <c r="K88" s="43">
        <f t="shared" ref="K88:S88" si="14">SUM(K35+K87)</f>
        <v>1094864000</v>
      </c>
      <c r="L88" s="43">
        <f t="shared" si="14"/>
        <v>449997779.05999994</v>
      </c>
      <c r="M88" s="43">
        <f t="shared" si="14"/>
        <v>164010554.17000002</v>
      </c>
      <c r="N88" s="43">
        <f t="shared" si="14"/>
        <v>1380851224.8899996</v>
      </c>
      <c r="O88" s="43">
        <f t="shared" si="14"/>
        <v>0</v>
      </c>
      <c r="P88" s="43">
        <f t="shared" si="14"/>
        <v>0</v>
      </c>
      <c r="Q88" s="43">
        <f t="shared" si="14"/>
        <v>-52056143.979999997</v>
      </c>
      <c r="R88" s="43">
        <f t="shared" si="14"/>
        <v>1328795080.9100001</v>
      </c>
      <c r="S88" s="43">
        <f t="shared" si="14"/>
        <v>1257024895.1000001</v>
      </c>
      <c r="T88" s="44">
        <f t="shared" si="8"/>
        <v>0.94598852235301056</v>
      </c>
      <c r="U88" s="43">
        <f>SUM(U35+U87)</f>
        <v>1234615479.1100001</v>
      </c>
      <c r="V88" s="44">
        <f t="shared" si="9"/>
        <v>0.92912405896663697</v>
      </c>
      <c r="W88" s="43">
        <f>SUM(W35+W87)</f>
        <v>1231150333.2</v>
      </c>
      <c r="X88" s="44">
        <f t="shared" si="10"/>
        <v>0.92651632361317149</v>
      </c>
      <c r="Y88" s="25"/>
      <c r="Z88" s="5"/>
      <c r="AA88" s="5"/>
    </row>
    <row r="89" spans="1:27" ht="14.25" customHeight="1" x14ac:dyDescent="0.2">
      <c r="A89" s="45" t="s">
        <v>103</v>
      </c>
      <c r="B89" s="46"/>
      <c r="C89" s="46"/>
      <c r="D89" s="46"/>
      <c r="E89" s="46"/>
      <c r="F89" s="46"/>
      <c r="G89" s="46"/>
      <c r="H89" s="47"/>
      <c r="I89" s="47"/>
      <c r="J89" s="47"/>
      <c r="K89" s="46"/>
      <c r="L89" s="46"/>
      <c r="M89" s="48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5"/>
      <c r="Z89" s="5"/>
      <c r="AA89" s="5"/>
    </row>
    <row r="90" spans="1:27" ht="14.25" customHeight="1" x14ac:dyDescent="0.2">
      <c r="A90" s="45" t="s">
        <v>104</v>
      </c>
      <c r="B90" s="50"/>
      <c r="C90" s="46"/>
      <c r="D90" s="46"/>
      <c r="E90" s="46"/>
      <c r="F90" s="46"/>
      <c r="G90" s="46"/>
      <c r="H90" s="47"/>
      <c r="I90" s="47"/>
      <c r="J90" s="47"/>
      <c r="K90" s="46"/>
      <c r="L90" s="46"/>
      <c r="M90" s="48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5"/>
      <c r="Z90" s="5"/>
      <c r="AA90" s="5"/>
    </row>
    <row r="91" spans="1:27" ht="14.25" customHeight="1" x14ac:dyDescent="0.2">
      <c r="A91" s="78" t="s">
        <v>105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5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5"/>
      <c r="Z91" s="5"/>
      <c r="AA91" s="5"/>
    </row>
    <row r="92" spans="1:27" ht="14.25" customHeight="1" x14ac:dyDescent="0.2">
      <c r="A92" s="51" t="s">
        <v>124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49"/>
      <c r="O92" s="49"/>
      <c r="P92" s="49"/>
      <c r="Q92" s="5"/>
      <c r="R92" s="5"/>
      <c r="S92" s="5"/>
      <c r="T92" s="5"/>
      <c r="U92" s="5"/>
      <c r="V92" s="5"/>
      <c r="W92" s="5"/>
      <c r="X92" s="52"/>
      <c r="Y92" s="5"/>
      <c r="Z92" s="5"/>
      <c r="AA92" s="5"/>
    </row>
    <row r="93" spans="1:27" ht="14.2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</sheetData>
  <mergeCells count="27">
    <mergeCell ref="A12:B12"/>
    <mergeCell ref="C12:C13"/>
    <mergeCell ref="D12:D13"/>
    <mergeCell ref="G12:G13"/>
    <mergeCell ref="J12:J13"/>
    <mergeCell ref="A35:J35"/>
    <mergeCell ref="A87:J87"/>
    <mergeCell ref="A88:J88"/>
    <mergeCell ref="A91:M91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:F1"/>
    <mergeCell ref="A2:F2"/>
    <mergeCell ref="A3:F3"/>
    <mergeCell ref="A4:F4"/>
    <mergeCell ref="A6:F6"/>
  </mergeCells>
  <pageMargins left="0.511811024" right="0.511811024" top="0.78740157499999996" bottom="0.78740157499999996" header="0.31496062000000002" footer="0.31496062000000002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2023</vt:lpstr>
      <vt:lpstr>'DEZEMBRO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2024-01-20T22:45:05Z</cp:lastPrinted>
  <dcterms:modified xsi:type="dcterms:W3CDTF">2024-01-20T22:45:27Z</dcterms:modified>
</cp:coreProperties>
</file>