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70" yWindow="630" windowWidth="20775" windowHeight="7365" firstSheet="2" activeTab="2"/>
  </bookViews>
  <sheets>
    <sheet name="JANEIRO 2022" sheetId="1" r:id="rId1"/>
    <sheet name="JANEIRO 2023" sheetId="2" r:id="rId2"/>
    <sheet name="NOVEMBRO 2024" sheetId="35" r:id="rId3"/>
  </sheets>
  <calcPr calcId="125725"/>
  <extLst>
    <ext uri="GoogleSheetsCustomDataVersion2">
      <go:sheetsCustomData xmlns:go="http://customooxmlschemas.google.com/" r:id="rId39" roundtripDataChecksum="xzDxlp1fNuJ45265arSZnwQUpK/Fn4UifwMNUmpKT5c="/>
    </ext>
  </extLst>
</workbook>
</file>

<file path=xl/calcChain.xml><?xml version="1.0" encoding="utf-8"?>
<calcChain xmlns="http://schemas.openxmlformats.org/spreadsheetml/2006/main">
  <c r="Q75" i="35"/>
  <c r="P75"/>
  <c r="O75"/>
  <c r="T74"/>
  <c r="R74"/>
  <c r="V74" s="1"/>
  <c r="N74"/>
  <c r="N73"/>
  <c r="R73" s="1"/>
  <c r="N72"/>
  <c r="R72" s="1"/>
  <c r="N71"/>
  <c r="R71" s="1"/>
  <c r="K70"/>
  <c r="N70" s="1"/>
  <c r="R70" s="1"/>
  <c r="N69"/>
  <c r="R69" s="1"/>
  <c r="W68"/>
  <c r="U68"/>
  <c r="S68"/>
  <c r="S67" s="1"/>
  <c r="N68"/>
  <c r="R68" s="1"/>
  <c r="W67"/>
  <c r="U67"/>
  <c r="M67"/>
  <c r="L67"/>
  <c r="K67"/>
  <c r="N67" s="1"/>
  <c r="R67" s="1"/>
  <c r="S66"/>
  <c r="M66"/>
  <c r="M65" s="1"/>
  <c r="L66"/>
  <c r="W65"/>
  <c r="U65"/>
  <c r="S65"/>
  <c r="L65"/>
  <c r="W64"/>
  <c r="W63" s="1"/>
  <c r="U64"/>
  <c r="S64"/>
  <c r="S63" s="1"/>
  <c r="R64"/>
  <c r="V64" s="1"/>
  <c r="N64"/>
  <c r="L64"/>
  <c r="K64"/>
  <c r="U63"/>
  <c r="L63"/>
  <c r="K63"/>
  <c r="N62"/>
  <c r="R62" s="1"/>
  <c r="T62" s="1"/>
  <c r="R61"/>
  <c r="T61" s="1"/>
  <c r="N61"/>
  <c r="N60"/>
  <c r="R60" s="1"/>
  <c r="N59"/>
  <c r="R59" s="1"/>
  <c r="N58"/>
  <c r="R58" s="1"/>
  <c r="W57"/>
  <c r="W56" s="1"/>
  <c r="U57"/>
  <c r="U56" s="1"/>
  <c r="S57"/>
  <c r="S56" s="1"/>
  <c r="N57"/>
  <c r="R57" s="1"/>
  <c r="L57"/>
  <c r="L56" s="1"/>
  <c r="N56" s="1"/>
  <c r="R56" s="1"/>
  <c r="W55"/>
  <c r="W54" s="1"/>
  <c r="U55"/>
  <c r="U54" s="1"/>
  <c r="S55"/>
  <c r="N55"/>
  <c r="R55" s="1"/>
  <c r="K55"/>
  <c r="K54" s="1"/>
  <c r="N54" s="1"/>
  <c r="R54" s="1"/>
  <c r="S54"/>
  <c r="R53"/>
  <c r="T53" s="1"/>
  <c r="N53"/>
  <c r="N52"/>
  <c r="R52" s="1"/>
  <c r="R51"/>
  <c r="T51" s="1"/>
  <c r="N51"/>
  <c r="N50"/>
  <c r="R50" s="1"/>
  <c r="X49"/>
  <c r="V49"/>
  <c r="R49"/>
  <c r="T49" s="1"/>
  <c r="N49"/>
  <c r="N48"/>
  <c r="R48" s="1"/>
  <c r="V47"/>
  <c r="S47"/>
  <c r="R47"/>
  <c r="X47" s="1"/>
  <c r="N47"/>
  <c r="R46"/>
  <c r="T46" s="1"/>
  <c r="N46"/>
  <c r="N45"/>
  <c r="R45" s="1"/>
  <c r="N44"/>
  <c r="R44" s="1"/>
  <c r="N43"/>
  <c r="R43" s="1"/>
  <c r="W42"/>
  <c r="W41" s="1"/>
  <c r="U42"/>
  <c r="U41" s="1"/>
  <c r="S42"/>
  <c r="S41" s="1"/>
  <c r="N42"/>
  <c r="R42" s="1"/>
  <c r="L42"/>
  <c r="L41"/>
  <c r="W40"/>
  <c r="W39" s="1"/>
  <c r="U40"/>
  <c r="S40"/>
  <c r="S39" s="1"/>
  <c r="N40"/>
  <c r="R40" s="1"/>
  <c r="U39"/>
  <c r="N39"/>
  <c r="R39" s="1"/>
  <c r="K39"/>
  <c r="X38"/>
  <c r="T38"/>
  <c r="R38"/>
  <c r="V38" s="1"/>
  <c r="N38"/>
  <c r="V37"/>
  <c r="R37"/>
  <c r="T37" s="1"/>
  <c r="N37"/>
  <c r="N36"/>
  <c r="R36" s="1"/>
  <c r="N35"/>
  <c r="R35" s="1"/>
  <c r="T35" s="1"/>
  <c r="N34"/>
  <c r="R34" s="1"/>
  <c r="X33"/>
  <c r="V33"/>
  <c r="T33"/>
  <c r="R33"/>
  <c r="N33"/>
  <c r="Q30"/>
  <c r="Q76" s="1"/>
  <c r="P30"/>
  <c r="O30"/>
  <c r="N29"/>
  <c r="R29" s="1"/>
  <c r="T28"/>
  <c r="R28"/>
  <c r="X28" s="1"/>
  <c r="N28"/>
  <c r="W27"/>
  <c r="U27"/>
  <c r="S27"/>
  <c r="S26" s="1"/>
  <c r="S30" s="1"/>
  <c r="L27"/>
  <c r="U26"/>
  <c r="U30" s="1"/>
  <c r="Q26"/>
  <c r="M26"/>
  <c r="M30" s="1"/>
  <c r="K26"/>
  <c r="R25"/>
  <c r="T25" s="1"/>
  <c r="N25"/>
  <c r="N24"/>
  <c r="R24" s="1"/>
  <c r="L23"/>
  <c r="R22"/>
  <c r="T22" s="1"/>
  <c r="N22"/>
  <c r="N21"/>
  <c r="R21" s="1"/>
  <c r="V20"/>
  <c r="R20"/>
  <c r="T20" s="1"/>
  <c r="N20"/>
  <c r="N19"/>
  <c r="R19" s="1"/>
  <c r="R18"/>
  <c r="T18" s="1"/>
  <c r="N18"/>
  <c r="N17"/>
  <c r="R17" s="1"/>
  <c r="N16"/>
  <c r="R16" s="1"/>
  <c r="N15"/>
  <c r="R15" s="1"/>
  <c r="R14"/>
  <c r="X14" s="1"/>
  <c r="N14"/>
  <c r="M112" i="2"/>
  <c r="M110"/>
  <c r="N109" s="1"/>
  <c r="M109"/>
  <c r="M104"/>
  <c r="N103" s="1"/>
  <c r="M103"/>
  <c r="U101"/>
  <c r="U100"/>
  <c r="M100"/>
  <c r="U99"/>
  <c r="D99"/>
  <c r="M98"/>
  <c r="D98"/>
  <c r="N97"/>
  <c r="M97"/>
  <c r="D97"/>
  <c r="W93"/>
  <c r="U93"/>
  <c r="U91"/>
  <c r="W91" s="1"/>
  <c r="W96" s="1"/>
  <c r="Q78"/>
  <c r="M78"/>
  <c r="W77"/>
  <c r="W78" s="1"/>
  <c r="Q77"/>
  <c r="P77"/>
  <c r="O77"/>
  <c r="M77"/>
  <c r="L77"/>
  <c r="V76"/>
  <c r="T76"/>
  <c r="R76"/>
  <c r="X76" s="1"/>
  <c r="N76"/>
  <c r="T75"/>
  <c r="R75"/>
  <c r="V75" s="1"/>
  <c r="N75"/>
  <c r="N74"/>
  <c r="R74" s="1"/>
  <c r="N73"/>
  <c r="R73" s="1"/>
  <c r="K73"/>
  <c r="K72" s="1"/>
  <c r="S72"/>
  <c r="R71"/>
  <c r="T71" s="1"/>
  <c r="N71"/>
  <c r="N70"/>
  <c r="R70" s="1"/>
  <c r="X69"/>
  <c r="V69"/>
  <c r="T69"/>
  <c r="R69"/>
  <c r="N69"/>
  <c r="S68"/>
  <c r="K68"/>
  <c r="N68" s="1"/>
  <c r="R68" s="1"/>
  <c r="X67"/>
  <c r="V67"/>
  <c r="T67"/>
  <c r="R67"/>
  <c r="N67"/>
  <c r="N66"/>
  <c r="R66" s="1"/>
  <c r="V65"/>
  <c r="T65"/>
  <c r="R65"/>
  <c r="X65" s="1"/>
  <c r="N65"/>
  <c r="T64"/>
  <c r="R64"/>
  <c r="V64" s="1"/>
  <c r="N64"/>
  <c r="N63"/>
  <c r="R63" s="1"/>
  <c r="N62"/>
  <c r="R62" s="1"/>
  <c r="S61"/>
  <c r="S60" s="1"/>
  <c r="N61"/>
  <c r="R61" s="1"/>
  <c r="N60"/>
  <c r="R60" s="1"/>
  <c r="K60"/>
  <c r="N59"/>
  <c r="R59" s="1"/>
  <c r="X58"/>
  <c r="V58"/>
  <c r="T58"/>
  <c r="R58"/>
  <c r="N58"/>
  <c r="N57"/>
  <c r="R57" s="1"/>
  <c r="V56"/>
  <c r="T56"/>
  <c r="R56"/>
  <c r="X56" s="1"/>
  <c r="N56"/>
  <c r="T55"/>
  <c r="R55"/>
  <c r="V55" s="1"/>
  <c r="N55"/>
  <c r="N54"/>
  <c r="R54" s="1"/>
  <c r="N53"/>
  <c r="R53" s="1"/>
  <c r="R52"/>
  <c r="T52" s="1"/>
  <c r="N52"/>
  <c r="X51"/>
  <c r="V51"/>
  <c r="T51"/>
  <c r="R51"/>
  <c r="N51"/>
  <c r="V50"/>
  <c r="T50"/>
  <c r="R50"/>
  <c r="X50" s="1"/>
  <c r="N50"/>
  <c r="X49"/>
  <c r="R49"/>
  <c r="T49" s="1"/>
  <c r="N49"/>
  <c r="R48"/>
  <c r="T48" s="1"/>
  <c r="N48"/>
  <c r="U47"/>
  <c r="U92" s="1"/>
  <c r="W92" s="1"/>
  <c r="S47"/>
  <c r="G98" s="1"/>
  <c r="R47"/>
  <c r="V47" s="1"/>
  <c r="N47"/>
  <c r="K47"/>
  <c r="T46"/>
  <c r="R46"/>
  <c r="V46" s="1"/>
  <c r="N46"/>
  <c r="N45"/>
  <c r="R45" s="1"/>
  <c r="N44"/>
  <c r="R44" s="1"/>
  <c r="R43"/>
  <c r="T43" s="1"/>
  <c r="N43"/>
  <c r="X42"/>
  <c r="V42"/>
  <c r="T42"/>
  <c r="S42"/>
  <c r="R42"/>
  <c r="N42"/>
  <c r="N41"/>
  <c r="R41" s="1"/>
  <c r="V40"/>
  <c r="T40"/>
  <c r="R40"/>
  <c r="X40" s="1"/>
  <c r="N40"/>
  <c r="T39"/>
  <c r="R39"/>
  <c r="V39" s="1"/>
  <c r="N39"/>
  <c r="N38"/>
  <c r="R38" s="1"/>
  <c r="N37"/>
  <c r="R36"/>
  <c r="T36" s="1"/>
  <c r="N36"/>
  <c r="X35"/>
  <c r="V35"/>
  <c r="T35"/>
  <c r="R35"/>
  <c r="N35"/>
  <c r="V34"/>
  <c r="T34"/>
  <c r="R34"/>
  <c r="X34" s="1"/>
  <c r="N34"/>
  <c r="W31"/>
  <c r="U31"/>
  <c r="Q31"/>
  <c r="P31"/>
  <c r="P78" s="1"/>
  <c r="O31"/>
  <c r="O78" s="1"/>
  <c r="M31"/>
  <c r="L31"/>
  <c r="L78" s="1"/>
  <c r="X30"/>
  <c r="V30"/>
  <c r="T30"/>
  <c r="R30"/>
  <c r="N30"/>
  <c r="V29"/>
  <c r="T29"/>
  <c r="R29"/>
  <c r="X29" s="1"/>
  <c r="N29"/>
  <c r="X28"/>
  <c r="R28"/>
  <c r="T28" s="1"/>
  <c r="N28"/>
  <c r="R27"/>
  <c r="T27" s="1"/>
  <c r="N27"/>
  <c r="W26"/>
  <c r="V26"/>
  <c r="U26"/>
  <c r="S26"/>
  <c r="G97" s="1"/>
  <c r="R26"/>
  <c r="X26" s="1"/>
  <c r="N26"/>
  <c r="K26"/>
  <c r="K31" s="1"/>
  <c r="V25"/>
  <c r="T25"/>
  <c r="R25"/>
  <c r="X25" s="1"/>
  <c r="N25"/>
  <c r="X24"/>
  <c r="R24"/>
  <c r="T24" s="1"/>
  <c r="N24"/>
  <c r="R23"/>
  <c r="T23" s="1"/>
  <c r="N23"/>
  <c r="N22"/>
  <c r="R22" s="1"/>
  <c r="X21"/>
  <c r="V21"/>
  <c r="T21"/>
  <c r="R21"/>
  <c r="N21"/>
  <c r="N20"/>
  <c r="R20" s="1"/>
  <c r="V19"/>
  <c r="T19"/>
  <c r="R19"/>
  <c r="X19" s="1"/>
  <c r="N19"/>
  <c r="T18"/>
  <c r="R18"/>
  <c r="V18" s="1"/>
  <c r="N18"/>
  <c r="N17"/>
  <c r="R17" s="1"/>
  <c r="N16"/>
  <c r="N31" s="1"/>
  <c r="R15"/>
  <c r="T15" s="1"/>
  <c r="N15"/>
  <c r="M107" i="1"/>
  <c r="M105"/>
  <c r="N104" s="1"/>
  <c r="M104"/>
  <c r="M99"/>
  <c r="N98" s="1"/>
  <c r="M98"/>
  <c r="M101" s="1"/>
  <c r="U95"/>
  <c r="U94"/>
  <c r="U96" s="1"/>
  <c r="G94"/>
  <c r="D94"/>
  <c r="M93"/>
  <c r="D93"/>
  <c r="N92"/>
  <c r="M92"/>
  <c r="M95" s="1"/>
  <c r="U88"/>
  <c r="W88" s="1"/>
  <c r="W87"/>
  <c r="U87"/>
  <c r="Q73"/>
  <c r="P73"/>
  <c r="L73"/>
  <c r="W72"/>
  <c r="U72"/>
  <c r="Q72"/>
  <c r="P72"/>
  <c r="O72"/>
  <c r="M72"/>
  <c r="L72"/>
  <c r="X71"/>
  <c r="R71"/>
  <c r="T71" s="1"/>
  <c r="N71"/>
  <c r="R70"/>
  <c r="T70" s="1"/>
  <c r="N70"/>
  <c r="N69"/>
  <c r="R69" s="1"/>
  <c r="X68"/>
  <c r="V68"/>
  <c r="T68"/>
  <c r="R68"/>
  <c r="N68"/>
  <c r="N67"/>
  <c r="R67" s="1"/>
  <c r="K67"/>
  <c r="X66"/>
  <c r="V66"/>
  <c r="T66"/>
  <c r="R66"/>
  <c r="N66"/>
  <c r="V65"/>
  <c r="T65"/>
  <c r="R65"/>
  <c r="X65" s="1"/>
  <c r="N65"/>
  <c r="X64"/>
  <c r="R64"/>
  <c r="T64" s="1"/>
  <c r="N64"/>
  <c r="S63"/>
  <c r="R63"/>
  <c r="T63" s="1"/>
  <c r="N63"/>
  <c r="K63"/>
  <c r="X62"/>
  <c r="R62"/>
  <c r="T62" s="1"/>
  <c r="N62"/>
  <c r="R61"/>
  <c r="T61" s="1"/>
  <c r="N61"/>
  <c r="N60"/>
  <c r="R60" s="1"/>
  <c r="X59"/>
  <c r="V59"/>
  <c r="T59"/>
  <c r="R59"/>
  <c r="N59"/>
  <c r="N58"/>
  <c r="R58" s="1"/>
  <c r="V57"/>
  <c r="T57"/>
  <c r="R57"/>
  <c r="X57" s="1"/>
  <c r="N57"/>
  <c r="T56"/>
  <c r="R56"/>
  <c r="V56" s="1"/>
  <c r="N56"/>
  <c r="V55"/>
  <c r="S55"/>
  <c r="G93" s="1"/>
  <c r="R55"/>
  <c r="X55" s="1"/>
  <c r="N55"/>
  <c r="M55"/>
  <c r="L55"/>
  <c r="K55"/>
  <c r="N54"/>
  <c r="R54" s="1"/>
  <c r="V53"/>
  <c r="T53"/>
  <c r="R53"/>
  <c r="X53" s="1"/>
  <c r="N53"/>
  <c r="T52"/>
  <c r="R52"/>
  <c r="V52" s="1"/>
  <c r="N52"/>
  <c r="N51"/>
  <c r="R51" s="1"/>
  <c r="N50"/>
  <c r="R50" s="1"/>
  <c r="R49"/>
  <c r="T49" s="1"/>
  <c r="N49"/>
  <c r="X48"/>
  <c r="V48"/>
  <c r="T48"/>
  <c r="R48"/>
  <c r="N48"/>
  <c r="V47"/>
  <c r="T47"/>
  <c r="R47"/>
  <c r="X47" s="1"/>
  <c r="N47"/>
  <c r="X46"/>
  <c r="R46"/>
  <c r="T46" s="1"/>
  <c r="N46"/>
  <c r="R45"/>
  <c r="T45" s="1"/>
  <c r="N45"/>
  <c r="K44"/>
  <c r="N44" s="1"/>
  <c r="R44" s="1"/>
  <c r="S43"/>
  <c r="M43"/>
  <c r="L43"/>
  <c r="K43"/>
  <c r="K72" s="1"/>
  <c r="V42"/>
  <c r="T42"/>
  <c r="R42"/>
  <c r="X42" s="1"/>
  <c r="N42"/>
  <c r="T41"/>
  <c r="R41"/>
  <c r="V41" s="1"/>
  <c r="N41"/>
  <c r="V40"/>
  <c r="R40"/>
  <c r="X40" s="1"/>
  <c r="N40"/>
  <c r="N39"/>
  <c r="R38"/>
  <c r="T38" s="1"/>
  <c r="N38"/>
  <c r="X37"/>
  <c r="V37"/>
  <c r="T37"/>
  <c r="R37"/>
  <c r="N37"/>
  <c r="V36"/>
  <c r="T36"/>
  <c r="R36"/>
  <c r="X36" s="1"/>
  <c r="N36"/>
  <c r="X35"/>
  <c r="T35"/>
  <c r="R35"/>
  <c r="V35" s="1"/>
  <c r="N35"/>
  <c r="R34"/>
  <c r="T34" s="1"/>
  <c r="N34"/>
  <c r="N33"/>
  <c r="R33" s="1"/>
  <c r="Q30"/>
  <c r="P30"/>
  <c r="O30"/>
  <c r="O73" s="1"/>
  <c r="M30"/>
  <c r="M73" s="1"/>
  <c r="L30"/>
  <c r="R29"/>
  <c r="T29" s="1"/>
  <c r="N29"/>
  <c r="N28"/>
  <c r="R28" s="1"/>
  <c r="X27"/>
  <c r="V27"/>
  <c r="T27"/>
  <c r="R27"/>
  <c r="N27"/>
  <c r="S26"/>
  <c r="K26"/>
  <c r="K25" s="1"/>
  <c r="W25"/>
  <c r="U25"/>
  <c r="U30" s="1"/>
  <c r="U73" s="1"/>
  <c r="S25"/>
  <c r="G92" s="1"/>
  <c r="X24"/>
  <c r="T24"/>
  <c r="R24"/>
  <c r="V24" s="1"/>
  <c r="N24"/>
  <c r="R23"/>
  <c r="T23" s="1"/>
  <c r="N23"/>
  <c r="N22"/>
  <c r="R22" s="1"/>
  <c r="X21"/>
  <c r="V21"/>
  <c r="T21"/>
  <c r="R21"/>
  <c r="N21"/>
  <c r="X20"/>
  <c r="W20"/>
  <c r="D92" s="1"/>
  <c r="U20"/>
  <c r="U86" s="1"/>
  <c r="T20"/>
  <c r="S20"/>
  <c r="R20"/>
  <c r="V20" s="1"/>
  <c r="N20"/>
  <c r="N19"/>
  <c r="R19" s="1"/>
  <c r="R18"/>
  <c r="T18" s="1"/>
  <c r="N18"/>
  <c r="N17"/>
  <c r="R17" s="1"/>
  <c r="V16"/>
  <c r="T16"/>
  <c r="R16"/>
  <c r="X16" s="1"/>
  <c r="N16"/>
  <c r="X15"/>
  <c r="T15"/>
  <c r="R15"/>
  <c r="N15"/>
  <c r="T44" i="35" l="1"/>
  <c r="X44"/>
  <c r="V21"/>
  <c r="T21"/>
  <c r="X21"/>
  <c r="V58"/>
  <c r="T58"/>
  <c r="X58"/>
  <c r="T16"/>
  <c r="V16"/>
  <c r="X16"/>
  <c r="V28"/>
  <c r="N63"/>
  <c r="R63" s="1"/>
  <c r="X63" s="1"/>
  <c r="X22"/>
  <c r="V22"/>
  <c r="O76"/>
  <c r="N66"/>
  <c r="R66" s="1"/>
  <c r="V66" s="1"/>
  <c r="P76"/>
  <c r="S75"/>
  <c r="S76" s="1"/>
  <c r="M75"/>
  <c r="M76" s="1"/>
  <c r="X17" i="1"/>
  <c r="T17"/>
  <c r="V17"/>
  <c r="T67"/>
  <c r="V67"/>
  <c r="X67"/>
  <c r="T61" i="2"/>
  <c r="V61"/>
  <c r="X61"/>
  <c r="V70"/>
  <c r="X70"/>
  <c r="T70"/>
  <c r="T62"/>
  <c r="V62"/>
  <c r="X62"/>
  <c r="X38"/>
  <c r="V38"/>
  <c r="T38"/>
  <c r="T60"/>
  <c r="V60"/>
  <c r="X60"/>
  <c r="T66"/>
  <c r="V66"/>
  <c r="X66"/>
  <c r="N113"/>
  <c r="V28" i="1"/>
  <c r="X28"/>
  <c r="T28"/>
  <c r="V22" i="2"/>
  <c r="X22"/>
  <c r="T22"/>
  <c r="W86" i="1"/>
  <c r="W91" s="1"/>
  <c r="U91"/>
  <c r="X51"/>
  <c r="V51"/>
  <c r="T51"/>
  <c r="T50"/>
  <c r="X50"/>
  <c r="V50"/>
  <c r="T58"/>
  <c r="V58"/>
  <c r="X58"/>
  <c r="V59" i="2"/>
  <c r="X59"/>
  <c r="T59"/>
  <c r="V69" i="1"/>
  <c r="X69"/>
  <c r="T69"/>
  <c r="V33"/>
  <c r="X33"/>
  <c r="T33"/>
  <c r="X17" i="2"/>
  <c r="V17"/>
  <c r="T17"/>
  <c r="T41"/>
  <c r="V41"/>
  <c r="X41"/>
  <c r="X54"/>
  <c r="V54"/>
  <c r="T54"/>
  <c r="X74"/>
  <c r="V74"/>
  <c r="T74"/>
  <c r="X54" i="1"/>
  <c r="T54"/>
  <c r="V54"/>
  <c r="T53" i="2"/>
  <c r="V53"/>
  <c r="X53"/>
  <c r="X45"/>
  <c r="V45"/>
  <c r="T45"/>
  <c r="T68"/>
  <c r="V68"/>
  <c r="X68"/>
  <c r="V22" i="1"/>
  <c r="X22"/>
  <c r="T22"/>
  <c r="T19"/>
  <c r="V19"/>
  <c r="X19"/>
  <c r="T73" i="2"/>
  <c r="V73"/>
  <c r="X73"/>
  <c r="N25" i="1"/>
  <c r="R25" s="1"/>
  <c r="K30"/>
  <c r="K73" s="1"/>
  <c r="V44"/>
  <c r="X44"/>
  <c r="T44"/>
  <c r="T44" i="2"/>
  <c r="V44"/>
  <c r="X44"/>
  <c r="N72"/>
  <c r="R72" s="1"/>
  <c r="K77"/>
  <c r="K78" s="1"/>
  <c r="V60" i="1"/>
  <c r="X60"/>
  <c r="T60"/>
  <c r="T20" i="2"/>
  <c r="V20"/>
  <c r="X20"/>
  <c r="V57"/>
  <c r="T57"/>
  <c r="X57"/>
  <c r="X63"/>
  <c r="V63"/>
  <c r="T63"/>
  <c r="N108" i="1"/>
  <c r="T40" i="35"/>
  <c r="V40"/>
  <c r="X40"/>
  <c r="T43"/>
  <c r="V43"/>
  <c r="X43"/>
  <c r="V54"/>
  <c r="X54"/>
  <c r="T54"/>
  <c r="V15" i="1"/>
  <c r="N26"/>
  <c r="R26" s="1"/>
  <c r="T40"/>
  <c r="V46"/>
  <c r="T55"/>
  <c r="V62"/>
  <c r="V64"/>
  <c r="V71"/>
  <c r="V24" i="2"/>
  <c r="V28"/>
  <c r="T47"/>
  <c r="V49"/>
  <c r="T26"/>
  <c r="U77"/>
  <c r="U78" s="1"/>
  <c r="U96"/>
  <c r="S72" i="1"/>
  <c r="W30"/>
  <c r="W73" s="1"/>
  <c r="G99" i="2"/>
  <c r="S77"/>
  <c r="X23" i="1"/>
  <c r="X34"/>
  <c r="X45"/>
  <c r="X63"/>
  <c r="X23" i="2"/>
  <c r="X29" i="1"/>
  <c r="X61"/>
  <c r="X70"/>
  <c r="X27" i="2"/>
  <c r="S31"/>
  <c r="S78" s="1"/>
  <c r="X48"/>
  <c r="X71"/>
  <c r="R77"/>
  <c r="V29" i="1"/>
  <c r="V34"/>
  <c r="V45"/>
  <c r="V63"/>
  <c r="V70"/>
  <c r="X18" i="2"/>
  <c r="V23"/>
  <c r="V27"/>
  <c r="X39"/>
  <c r="X46"/>
  <c r="V48"/>
  <c r="X55"/>
  <c r="X64"/>
  <c r="V71"/>
  <c r="X75"/>
  <c r="V23" i="1"/>
  <c r="X41"/>
  <c r="X52"/>
  <c r="X56"/>
  <c r="V61"/>
  <c r="R39"/>
  <c r="R16" i="2"/>
  <c r="R37"/>
  <c r="M106"/>
  <c r="X18" i="1"/>
  <c r="X38"/>
  <c r="X36" i="2"/>
  <c r="S30" i="1"/>
  <c r="S73" s="1"/>
  <c r="X49"/>
  <c r="X52" i="2"/>
  <c r="V18" i="1"/>
  <c r="V38"/>
  <c r="V36" i="2"/>
  <c r="X47"/>
  <c r="V52"/>
  <c r="N43" i="1"/>
  <c r="R43" s="1"/>
  <c r="X15" i="2"/>
  <c r="X43"/>
  <c r="V49" i="1"/>
  <c r="V15" i="2"/>
  <c r="V43"/>
  <c r="T48" i="35"/>
  <c r="V48"/>
  <c r="X48"/>
  <c r="U75"/>
  <c r="T15"/>
  <c r="V15"/>
  <c r="X15"/>
  <c r="T34"/>
  <c r="V34"/>
  <c r="X34"/>
  <c r="T39"/>
  <c r="V39"/>
  <c r="X39"/>
  <c r="T68"/>
  <c r="V68"/>
  <c r="X68"/>
  <c r="K75"/>
  <c r="T24"/>
  <c r="V24"/>
  <c r="X24"/>
  <c r="T42"/>
  <c r="V42"/>
  <c r="X42"/>
  <c r="V52"/>
  <c r="X52"/>
  <c r="T52"/>
  <c r="N65"/>
  <c r="R65" s="1"/>
  <c r="V19"/>
  <c r="X19"/>
  <c r="T19"/>
  <c r="T57"/>
  <c r="V57"/>
  <c r="X57"/>
  <c r="T56"/>
  <c r="V56"/>
  <c r="X56"/>
  <c r="T50"/>
  <c r="V50"/>
  <c r="X50"/>
  <c r="T73"/>
  <c r="V73"/>
  <c r="X73"/>
  <c r="T17"/>
  <c r="V17"/>
  <c r="X17"/>
  <c r="V45"/>
  <c r="X45"/>
  <c r="T45"/>
  <c r="T60"/>
  <c r="V60"/>
  <c r="X60"/>
  <c r="T67"/>
  <c r="V67"/>
  <c r="X67"/>
  <c r="V72"/>
  <c r="X72"/>
  <c r="T72"/>
  <c r="L75"/>
  <c r="T59"/>
  <c r="V59"/>
  <c r="X59"/>
  <c r="T71"/>
  <c r="V71"/>
  <c r="X71"/>
  <c r="W75"/>
  <c r="T66"/>
  <c r="T70"/>
  <c r="V70"/>
  <c r="X70"/>
  <c r="T29"/>
  <c r="V29"/>
  <c r="X29"/>
  <c r="V36"/>
  <c r="X36"/>
  <c r="T36"/>
  <c r="X55"/>
  <c r="T55"/>
  <c r="V55"/>
  <c r="T69"/>
  <c r="V69"/>
  <c r="X69"/>
  <c r="V14"/>
  <c r="T64"/>
  <c r="X74"/>
  <c r="T14"/>
  <c r="L26"/>
  <c r="N26" s="1"/>
  <c r="R26" s="1"/>
  <c r="N27"/>
  <c r="R27" s="1"/>
  <c r="T47"/>
  <c r="X18"/>
  <c r="X25"/>
  <c r="X35"/>
  <c r="X51"/>
  <c r="V18"/>
  <c r="V25"/>
  <c r="W26"/>
  <c r="V35"/>
  <c r="V44"/>
  <c r="V51"/>
  <c r="X62"/>
  <c r="X20"/>
  <c r="N23"/>
  <c r="R23" s="1"/>
  <c r="R30" s="1"/>
  <c r="X37"/>
  <c r="N41"/>
  <c r="R41" s="1"/>
  <c r="R75" s="1"/>
  <c r="X46"/>
  <c r="X53"/>
  <c r="V62"/>
  <c r="L30"/>
  <c r="L76" s="1"/>
  <c r="V46"/>
  <c r="V53"/>
  <c r="K30"/>
  <c r="X64"/>
  <c r="X61"/>
  <c r="V61"/>
  <c r="N75" l="1"/>
  <c r="X66"/>
  <c r="T63"/>
  <c r="V63"/>
  <c r="K76"/>
  <c r="T26"/>
  <c r="V26"/>
  <c r="X26"/>
  <c r="W30"/>
  <c r="W76" s="1"/>
  <c r="X77" i="2"/>
  <c r="T77"/>
  <c r="V77"/>
  <c r="T30" i="35"/>
  <c r="V30"/>
  <c r="X30"/>
  <c r="R76"/>
  <c r="T25" i="1"/>
  <c r="V25"/>
  <c r="X25"/>
  <c r="T27" i="35"/>
  <c r="V27"/>
  <c r="X27"/>
  <c r="X75"/>
  <c r="T75"/>
  <c r="V75"/>
  <c r="T39" i="1"/>
  <c r="V39"/>
  <c r="X39"/>
  <c r="N77" i="2"/>
  <c r="N78" s="1"/>
  <c r="T16"/>
  <c r="V16"/>
  <c r="X16"/>
  <c r="T37"/>
  <c r="V37"/>
  <c r="X37"/>
  <c r="U76" i="35"/>
  <c r="T26" i="1"/>
  <c r="V26"/>
  <c r="X26"/>
  <c r="T23" i="35"/>
  <c r="V23"/>
  <c r="X23"/>
  <c r="X41"/>
  <c r="T41"/>
  <c r="V41"/>
  <c r="R30" i="1"/>
  <c r="R72"/>
  <c r="V72" i="2"/>
  <c r="X72"/>
  <c r="T72"/>
  <c r="N30" i="35"/>
  <c r="N30" i="1"/>
  <c r="X65" i="35"/>
  <c r="T65"/>
  <c r="V65"/>
  <c r="N72" i="1"/>
  <c r="T43"/>
  <c r="V43"/>
  <c r="X43"/>
  <c r="R31" i="2"/>
  <c r="N76" i="35" l="1"/>
  <c r="N73" i="1"/>
  <c r="T31" i="2"/>
  <c r="X31"/>
  <c r="R78"/>
  <c r="V31"/>
  <c r="V76" i="35"/>
  <c r="X76"/>
  <c r="T76"/>
  <c r="T30" i="1"/>
  <c r="V30"/>
  <c r="X30"/>
  <c r="R73"/>
  <c r="X72"/>
  <c r="V72"/>
  <c r="T72"/>
  <c r="V78" i="2" l="1"/>
  <c r="X78"/>
  <c r="T78"/>
  <c r="V73" i="1"/>
  <c r="X73"/>
  <c r="T73"/>
</calcChain>
</file>

<file path=xl/sharedStrings.xml><?xml version="1.0" encoding="utf-8"?>
<sst xmlns="http://schemas.openxmlformats.org/spreadsheetml/2006/main" count="1763" uniqueCount="190">
  <si>
    <t>ANEXO II</t>
  </si>
  <si>
    <t>Sigla: TJAM</t>
  </si>
  <si>
    <t>Nome do Órgão: TRIBUNAL DE JUSTIÇA DO AMAZONAS</t>
  </si>
  <si>
    <t>DOMINGOS JORGE CHALUB PEREIRA</t>
  </si>
  <si>
    <t>Responsável pela Informação: SECRETÁRIO DE ORÇAMENTO E FINANÇAS</t>
  </si>
  <si>
    <t>Mês de Referência: 01/2022</t>
  </si>
  <si>
    <t>Data da Publicação: 17/02/2022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</si>
  <si>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</si>
  <si>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</si>
  <si>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</si>
  <si>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</si>
  <si>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</si>
  <si>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</si>
  <si>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</si>
  <si>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</si>
  <si>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</si>
  <si>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</si>
  <si>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</si>
  <si>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>Programática
(Programa, Ação e Subtítulo)</t>
  </si>
  <si>
    <t>Descrição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</si>
  <si>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</si>
  <si>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</si>
  <si>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</si>
  <si>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</si>
  <si>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</si>
  <si>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</si>
  <si>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</si>
  <si>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</si>
  <si>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</si>
  <si>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</si>
  <si>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</si>
  <si>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</si>
  <si>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</si>
  <si>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</si>
  <si>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</si>
  <si>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</si>
  <si>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</si>
  <si>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</si>
  <si>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</si>
  <si>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</si>
  <si>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</si>
  <si>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</si>
  <si>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</si>
  <si>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</si>
  <si>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</si>
  <si>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</si>
  <si>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</si>
  <si>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</si>
  <si>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4101</t>
  </si>
  <si>
    <t>TJAM</t>
  </si>
  <si>
    <t>02.061</t>
  </si>
  <si>
    <t>3290/2560.0001</t>
  </si>
  <si>
    <t>Prestação Jurisdicional do 1° Grau e Gestão Administrativa na Justiça Estadual</t>
  </si>
  <si>
    <t>Julgamento de Causas na Justiça Estadual do 1° Grau</t>
  </si>
  <si>
    <t>1</t>
  </si>
  <si>
    <t>100</t>
  </si>
  <si>
    <t>Diretamente Arrecadados - Orçamento Corrente</t>
  </si>
  <si>
    <t>3290/2561.0001</t>
  </si>
  <si>
    <t>Benefícios aos Servidores do 1° Grau</t>
  </si>
  <si>
    <t>3290/2563.0001</t>
  </si>
  <si>
    <t>Remuneração de Pessoal Ativo e Encargos Sociais do 1° Grau</t>
  </si>
  <si>
    <t>3291/2347.0001</t>
  </si>
  <si>
    <t>Operacionalização da Escola Superior da Magistratura</t>
  </si>
  <si>
    <t>Recursos Ordinários - Orçamento Corrente</t>
  </si>
  <si>
    <t>3291/2564.0001</t>
  </si>
  <si>
    <t>Prestação Jurisdicional do 2° Grau e Gestão Administrativa na Justiça Estadual</t>
  </si>
  <si>
    <t>Benefícios aos Servidores do 2° Grau</t>
  </si>
  <si>
    <t>3291/2566.0001</t>
  </si>
  <si>
    <t>Remuneração de Pessoal Ativo e Encargos Sociais do 2° Grau e Gestão Administrativa</t>
  </si>
  <si>
    <t>3291/2744.0001</t>
  </si>
  <si>
    <t>Remuneração de Pessoal Ativo e Encargos Sociais do Apoio Administrativo</t>
  </si>
  <si>
    <t>3291/2745.0001</t>
  </si>
  <si>
    <t>Benefícios aos Servidores do Apoio Administrativo</t>
  </si>
  <si>
    <t>02.122</t>
  </si>
  <si>
    <t>3287/2516.0001</t>
  </si>
  <si>
    <t>Manutenção da Gestão da Fundação Amazonprev</t>
  </si>
  <si>
    <t>02.128</t>
  </si>
  <si>
    <t>3291/2218.0001</t>
  </si>
  <si>
    <t>Formação e aperfeiçoamento dos Servidores</t>
  </si>
  <si>
    <t>02.272</t>
  </si>
  <si>
    <t>0002.0001.0001</t>
  </si>
  <si>
    <t>Encargos com Pessoal Inativo e Pensionistas</t>
  </si>
  <si>
    <t>300</t>
  </si>
  <si>
    <t>28.846</t>
  </si>
  <si>
    <t>0003.0023.0001</t>
  </si>
  <si>
    <t>Cumprimento de Sentenças Judiciais Transitadas em julgado</t>
  </si>
  <si>
    <t>Total l</t>
  </si>
  <si>
    <t>4703</t>
  </si>
  <si>
    <t>Fundo de Modernização e Reaparelhamento do Poder Judiciário Estadual</t>
  </si>
  <si>
    <t>3290/1475.0001</t>
  </si>
  <si>
    <t>Prestação Jurisdicional do 1° Grau na Justiça Estadual</t>
  </si>
  <si>
    <t>Reforma das Unidades Jurisdicionais do 1º Grau</t>
  </si>
  <si>
    <t>201</t>
  </si>
  <si>
    <t>3290/1475.0002</t>
  </si>
  <si>
    <t>401</t>
  </si>
  <si>
    <t>3290/1475.0003</t>
  </si>
  <si>
    <t>3290/1475.0010</t>
  </si>
  <si>
    <t>3290/1475.0011</t>
  </si>
  <si>
    <t>3290/1476.0001</t>
  </si>
  <si>
    <t>Construção de Unidades Jurisdicionais do 1. Grau.</t>
  </si>
  <si>
    <t>3290/1477.0001</t>
  </si>
  <si>
    <t>Implantação do Programa de Segurança no 1° Grau</t>
  </si>
  <si>
    <t>Julgamento de Causas na Justiça Estadual do 1º Grau</t>
  </si>
  <si>
    <t>Benefícios aos Servidores do 1. Grau</t>
  </si>
  <si>
    <t>Prestação Jurisdicional do 2° Grau na Justiça Estadual</t>
  </si>
  <si>
    <t>3291/1478.0001</t>
  </si>
  <si>
    <t>Construção de Unidades Jurisdicionais do 2. Grau.</t>
  </si>
  <si>
    <t>3291/1479.0001</t>
  </si>
  <si>
    <t>Implantação do Programa de Segurança no 2° Grau</t>
  </si>
  <si>
    <t>3291/1480.0011</t>
  </si>
  <si>
    <t>Reforma das Unidades Jurisdicionais do 2º Grau</t>
  </si>
  <si>
    <t>3291/1480.0001</t>
  </si>
  <si>
    <t>285</t>
  </si>
  <si>
    <t>3291/2565.0001</t>
  </si>
  <si>
    <t>Julgamento de Causas na Justiça Estadual do 2º Grau</t>
  </si>
  <si>
    <t>485</t>
  </si>
  <si>
    <t>3291/2581.0001</t>
  </si>
  <si>
    <t>Operacionalização da Corregedoria Geral de Justiça</t>
  </si>
  <si>
    <t>02.126</t>
  </si>
  <si>
    <t>3290/2627.0001</t>
  </si>
  <si>
    <t>Ampliação e Manutenção da Estrutura da Tecnologia da Informação no 1° Grau do Poder Judiciário</t>
  </si>
  <si>
    <t>3291/2628.0001</t>
  </si>
  <si>
    <t>Ampliação e Manutenção da Estrutura da Tecnologia da Informação no 2° Grau do Poder Judiciário</t>
  </si>
  <si>
    <t>Formação e Aperfeiçoamento dos servidores</t>
  </si>
  <si>
    <t>Total ll</t>
  </si>
  <si>
    <t>Total lll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</si>
  <si>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</si>
  <si>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</si>
  <si>
    <t xml:space="preserve">           3.No campo Crédtitos Adicionais: Acréscimos, são somados os valores de Dotação Suplementar e Dotação Especial.</t>
  </si>
  <si>
    <t>TOTAL = B-A</t>
  </si>
  <si>
    <t>CRÉDITOS ADICIONAIS</t>
  </si>
  <si>
    <t>MÊS ANTERIOR</t>
  </si>
  <si>
    <t>MÊS ATUAL</t>
  </si>
  <si>
    <t>PAGO</t>
  </si>
  <si>
    <t>EMPENHADO</t>
  </si>
  <si>
    <t>GRUPO</t>
  </si>
  <si>
    <t>TOTAL</t>
  </si>
  <si>
    <t>ACRÉSCIMOS</t>
  </si>
  <si>
    <t>DECRÉSCIMOS</t>
  </si>
  <si>
    <t>TJAM 03</t>
  </si>
  <si>
    <t>FUNJEAM 03</t>
  </si>
  <si>
    <t xml:space="preserve">GRUPO </t>
  </si>
  <si>
    <t>DECRÉSCIMSO</t>
  </si>
  <si>
    <t>ACRESCIMOS</t>
  </si>
  <si>
    <t>DECRESCIMOS</t>
  </si>
  <si>
    <t>NELIA CAMINHA JORGE</t>
  </si>
  <si>
    <t>Mês de Referência: 01/2023</t>
  </si>
  <si>
    <t>Data da Publicação: 17/02/2023</t>
  </si>
  <si>
    <t>1.500.100.0.0000.0000</t>
  </si>
  <si>
    <t>Julgamento de Causas na Justiça Estadual do 2° Grau</t>
  </si>
  <si>
    <t>1.759.201.0.0000.0000</t>
  </si>
  <si>
    <t>3290/1476.0010</t>
  </si>
  <si>
    <t>3290/1476.0011</t>
  </si>
  <si>
    <t>1.759.201.0000.0000</t>
  </si>
  <si>
    <t>1.759.285.0.0000.0000</t>
  </si>
  <si>
    <t>3291/1478.0011</t>
  </si>
  <si>
    <t>Recursos não Vinculados de Impostos</t>
  </si>
  <si>
    <t>Remuneração de Pessoal Ativo e Encargos Sociais do 2° Grau</t>
  </si>
  <si>
    <t>Previdência de Inativos e Pensionistas do Estado</t>
  </si>
  <si>
    <t>2</t>
  </si>
  <si>
    <t>Operações Especiais: Cumprimento de Senteças Judiciais</t>
  </si>
  <si>
    <t>Recursos Vinculados a Fundos - Diretamente Arrecadados</t>
  </si>
  <si>
    <t>2.759.201.0.0000.0000</t>
  </si>
  <si>
    <t>Recursos Vinculados a Fundos - Outras Fontes</t>
  </si>
  <si>
    <t>2.759.285.0.0000.0000</t>
  </si>
  <si>
    <t xml:space="preserve">  </t>
  </si>
  <si>
    <t>3290/1476.0003</t>
  </si>
  <si>
    <t>Apreciação e Julgamento da Causas na Justiça Estadual do 1° Grau</t>
  </si>
  <si>
    <t>Apreciação e Julgamento de Causas na Justiça Estadual do 2° Grau</t>
  </si>
  <si>
    <t>Operacionalização da Escola Superior da Magistratura - ESMAM</t>
  </si>
  <si>
    <t>Construção, Ampliação e Reforma de Unidades Jurisdicionais do 1° Grau</t>
  </si>
  <si>
    <t>Aprimoramento da Segurança Institucional no 1° Grau</t>
  </si>
  <si>
    <t>Apreciação e Julgamento de Causas na Justiça Estadual do 1° Grau</t>
  </si>
  <si>
    <t>Construção, Ampliação e Reforma de Unidades Jurisdicionais do 2° Grau</t>
  </si>
  <si>
    <t>Aprimoramento da Segurança Institucional no 2° Grau</t>
  </si>
  <si>
    <t>3291.1574.0001</t>
  </si>
  <si>
    <t>Ampliação do Quadro Funcional do TJ</t>
  </si>
  <si>
    <t>Operacionalização da Corregedoria Geral de Justiça - CGJ/AM</t>
  </si>
  <si>
    <t>Manutenção, Ampliação e Aperfeiçoamento da Infraestrutura de TIC no 1° Grau do Poder Judiciário</t>
  </si>
  <si>
    <t>Manutenção, Ampliação e Aperfeiçoamento da Infraestrutura de TIC no 2° Grau do Poder Judiciário</t>
  </si>
  <si>
    <t>3291.2347.0001</t>
  </si>
  <si>
    <t>3290.1476.0006</t>
  </si>
  <si>
    <t>3291.2745.0001</t>
  </si>
  <si>
    <t>3310.2773.0001</t>
  </si>
  <si>
    <t>Desenvolvimento de Ações Decorrentes de Emendas Parlamentares</t>
  </si>
  <si>
    <t>1.500.121.0.0000.0000</t>
  </si>
  <si>
    <t>Recursos não vinculados de impostos - FPE</t>
  </si>
  <si>
    <t>Aplicação de Emendas Parlamentares</t>
  </si>
  <si>
    <t>Mês de Referência: 11/2024</t>
  </si>
  <si>
    <t>Data da Publicação: 12/12/2024</t>
  </si>
</sst>
</file>

<file path=xl/styles.xml><?xml version="1.0" encoding="utf-8"?>
<styleSheet xmlns="http://schemas.openxmlformats.org/spreadsheetml/2006/main">
  <numFmts count="4">
    <numFmt numFmtId="164" formatCode="0.0%"/>
    <numFmt numFmtId="165" formatCode="0\ ;\(0\);\-#\ ;@\ "/>
    <numFmt numFmtId="166" formatCode="#,##0.00\ ;#,##0.00\ ;\-#\ ;@\ "/>
    <numFmt numFmtId="167" formatCode="#,##0.00\ ;#,##0.00\ ;\-#\ "/>
  </numFmts>
  <fonts count="12">
    <font>
      <sz val="11"/>
      <color rgb="FF000000"/>
      <name val="Arial"/>
      <scheme val="minor"/>
    </font>
    <font>
      <sz val="9"/>
      <color rgb="FF000000"/>
      <name val="Arial"/>
    </font>
    <font>
      <sz val="11"/>
      <name val="Arial"/>
    </font>
    <font>
      <sz val="7"/>
      <color rgb="FF000000"/>
      <name val="Arial"/>
    </font>
    <font>
      <sz val="11"/>
      <color rgb="FF000000"/>
      <name val="Arial"/>
    </font>
    <font>
      <sz val="7"/>
      <color rgb="FFFF0000"/>
      <name val="Arial"/>
    </font>
    <font>
      <b/>
      <sz val="7"/>
      <color rgb="FF000000"/>
      <name val="Arial"/>
    </font>
    <font>
      <sz val="12"/>
      <color rgb="FF000000"/>
      <name val="Arial"/>
    </font>
    <font>
      <sz val="10"/>
      <color rgb="FF000000"/>
      <name val="Arial"/>
    </font>
    <font>
      <b/>
      <sz val="10"/>
      <color rgb="FF000000"/>
      <name val="Arial"/>
    </font>
    <font>
      <b/>
      <sz val="12"/>
      <color rgb="FF000000"/>
      <name val="Arial"/>
    </font>
    <font>
      <sz val="10"/>
      <color theme="1"/>
      <name val="Arial"/>
    </font>
  </fonts>
  <fills count="12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8000"/>
        <bgColor rgb="FF008000"/>
      </patternFill>
    </fill>
    <fill>
      <patternFill patternType="solid">
        <fgColor rgb="FFCFE7E5"/>
        <bgColor rgb="FFCFE7E5"/>
      </patternFill>
    </fill>
    <fill>
      <patternFill patternType="solid">
        <fgColor rgb="FFFF00FF"/>
        <bgColor rgb="FFFF00FF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rgb="FFFF0000"/>
      </patternFill>
    </fill>
    <fill>
      <patternFill patternType="solid">
        <fgColor rgb="FFCCFFFF"/>
        <bgColor rgb="FFCCFFFF"/>
      </patternFill>
    </fill>
    <fill>
      <patternFill patternType="solid">
        <fgColor rgb="FFDBE5F1"/>
        <bgColor rgb="FFDBE5F1"/>
      </patternFill>
    </fill>
    <fill>
      <patternFill patternType="solid">
        <fgColor rgb="FF00DCFF"/>
        <bgColor rgb="FF00DCFF"/>
      </patternFill>
    </fill>
    <fill>
      <patternFill patternType="solid">
        <fgColor rgb="FFCFE2F3"/>
        <bgColor rgb="FFCFE2F3"/>
      </patternFill>
    </fill>
  </fills>
  <borders count="26">
    <border>
      <left/>
      <right/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/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/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63">
    <xf numFmtId="0" fontId="0" fillId="0" borderId="0" xfId="0" applyFont="1" applyAlignment="1"/>
    <xf numFmtId="0" fontId="3" fillId="0" borderId="0" xfId="0" applyFont="1" applyAlignment="1"/>
    <xf numFmtId="0" fontId="3" fillId="0" borderId="0" xfId="0" applyFont="1" applyAlignment="1">
      <alignment horizontal="center"/>
    </xf>
    <xf numFmtId="0" fontId="3" fillId="2" borderId="4" xfId="0" applyFont="1" applyFill="1" applyBorder="1" applyAlignment="1">
      <alignment horizontal="center"/>
    </xf>
    <xf numFmtId="164" fontId="3" fillId="2" borderId="4" xfId="0" applyNumberFormat="1" applyFont="1" applyFill="1" applyBorder="1" applyAlignment="1">
      <alignment horizontal="center"/>
    </xf>
    <xf numFmtId="0" fontId="4" fillId="0" borderId="0" xfId="0" applyFont="1" applyAlignment="1"/>
    <xf numFmtId="0" fontId="3" fillId="0" borderId="7" xfId="0" applyFont="1" applyBorder="1" applyAlignment="1"/>
    <xf numFmtId="0" fontId="3" fillId="0" borderId="3" xfId="0" applyFont="1" applyBorder="1" applyAlignment="1"/>
    <xf numFmtId="0" fontId="1" fillId="0" borderId="8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5" fillId="0" borderId="0" xfId="0" applyFont="1" applyAlignment="1"/>
    <xf numFmtId="49" fontId="3" fillId="0" borderId="0" xfId="0" applyNumberFormat="1" applyFont="1" applyAlignment="1"/>
    <xf numFmtId="0" fontId="3" fillId="2" borderId="9" xfId="0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6" fillId="0" borderId="10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164" fontId="6" fillId="0" borderId="11" xfId="0" applyNumberFormat="1" applyFont="1" applyBorder="1" applyAlignment="1">
      <alignment horizontal="center" vertical="center" wrapText="1"/>
    </xf>
    <xf numFmtId="164" fontId="6" fillId="0" borderId="13" xfId="0" applyNumberFormat="1" applyFont="1" applyBorder="1" applyAlignment="1">
      <alignment horizontal="center" vertical="center" wrapText="1"/>
    </xf>
    <xf numFmtId="165" fontId="6" fillId="0" borderId="13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164" fontId="6" fillId="0" borderId="3" xfId="0" applyNumberFormat="1" applyFont="1" applyBorder="1" applyAlignment="1">
      <alignment horizontal="center" vertical="center" wrapText="1"/>
    </xf>
    <xf numFmtId="49" fontId="3" fillId="3" borderId="12" xfId="0" applyNumberFormat="1" applyFont="1" applyFill="1" applyBorder="1" applyAlignment="1">
      <alignment horizontal="center" vertical="center" wrapText="1"/>
    </xf>
    <xf numFmtId="49" fontId="3" fillId="2" borderId="12" xfId="0" applyNumberFormat="1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166" fontId="3" fillId="2" borderId="12" xfId="0" applyNumberFormat="1" applyFont="1" applyFill="1" applyBorder="1" applyAlignment="1">
      <alignment horizontal="right" vertical="center"/>
    </xf>
    <xf numFmtId="4" fontId="6" fillId="2" borderId="12" xfId="0" applyNumberFormat="1" applyFont="1" applyFill="1" applyBorder="1" applyAlignment="1">
      <alignment horizontal="right" vertical="center"/>
    </xf>
    <xf numFmtId="4" fontId="3" fillId="2" borderId="12" xfId="0" applyNumberFormat="1" applyFont="1" applyFill="1" applyBorder="1" applyAlignment="1">
      <alignment horizontal="right" vertical="center"/>
    </xf>
    <xf numFmtId="164" fontId="6" fillId="2" borderId="12" xfId="0" applyNumberFormat="1" applyFont="1" applyFill="1" applyBorder="1" applyAlignment="1">
      <alignment horizontal="center" vertical="center"/>
    </xf>
    <xf numFmtId="166" fontId="3" fillId="4" borderId="12" xfId="0" applyNumberFormat="1" applyFont="1" applyFill="1" applyBorder="1" applyAlignment="1">
      <alignment horizontal="right" vertical="center"/>
    </xf>
    <xf numFmtId="166" fontId="4" fillId="0" borderId="0" xfId="0" applyNumberFormat="1" applyFont="1" applyAlignment="1"/>
    <xf numFmtId="0" fontId="3" fillId="5" borderId="12" xfId="0" applyFont="1" applyFill="1" applyBorder="1" applyAlignment="1">
      <alignment horizontal="center" vertical="center" wrapText="1"/>
    </xf>
    <xf numFmtId="166" fontId="3" fillId="5" borderId="12" xfId="0" applyNumberFormat="1" applyFont="1" applyFill="1" applyBorder="1" applyAlignment="1">
      <alignment horizontal="right" vertical="center"/>
    </xf>
    <xf numFmtId="49" fontId="3" fillId="0" borderId="12" xfId="0" applyNumberFormat="1" applyFont="1" applyBorder="1" applyAlignment="1">
      <alignment horizontal="center" vertical="center" wrapText="1"/>
    </xf>
    <xf numFmtId="167" fontId="3" fillId="0" borderId="12" xfId="0" applyNumberFormat="1" applyFont="1" applyBorder="1" applyAlignment="1">
      <alignment horizontal="right" vertical="center"/>
    </xf>
    <xf numFmtId="166" fontId="3" fillId="0" borderId="12" xfId="0" applyNumberFormat="1" applyFont="1" applyBorder="1" applyAlignment="1">
      <alignment horizontal="right" vertical="center"/>
    </xf>
    <xf numFmtId="4" fontId="6" fillId="0" borderId="12" xfId="0" applyNumberFormat="1" applyFont="1" applyBorder="1" applyAlignment="1">
      <alignment horizontal="right" vertical="center"/>
    </xf>
    <xf numFmtId="167" fontId="3" fillId="0" borderId="3" xfId="0" applyNumberFormat="1" applyFont="1" applyBorder="1" applyAlignment="1">
      <alignment horizontal="right" vertical="center"/>
    </xf>
    <xf numFmtId="164" fontId="6" fillId="0" borderId="12" xfId="0" applyNumberFormat="1" applyFont="1" applyBorder="1" applyAlignment="1">
      <alignment horizontal="center" vertical="center"/>
    </xf>
    <xf numFmtId="4" fontId="6" fillId="6" borderId="12" xfId="0" applyNumberFormat="1" applyFont="1" applyFill="1" applyBorder="1" applyAlignment="1">
      <alignment horizontal="center" vertical="center" wrapText="1"/>
    </xf>
    <xf numFmtId="164" fontId="6" fillId="6" borderId="12" xfId="0" applyNumberFormat="1" applyFont="1" applyFill="1" applyBorder="1" applyAlignment="1">
      <alignment horizontal="center" vertical="center"/>
    </xf>
    <xf numFmtId="49" fontId="7" fillId="6" borderId="12" xfId="0" applyNumberFormat="1" applyFont="1" applyFill="1" applyBorder="1" applyAlignment="1">
      <alignment horizontal="center" vertical="center" wrapText="1"/>
    </xf>
    <xf numFmtId="49" fontId="7" fillId="0" borderId="12" xfId="0" applyNumberFormat="1" applyFont="1" applyBorder="1" applyAlignment="1">
      <alignment horizontal="center" vertical="center" wrapText="1"/>
    </xf>
    <xf numFmtId="4" fontId="6" fillId="0" borderId="12" xfId="0" applyNumberFormat="1" applyFont="1" applyBorder="1" applyAlignment="1">
      <alignment horizontal="center" vertical="center" wrapText="1"/>
    </xf>
    <xf numFmtId="0" fontId="3" fillId="7" borderId="12" xfId="0" applyFont="1" applyFill="1" applyBorder="1" applyAlignment="1">
      <alignment horizontal="center" vertical="center" wrapText="1"/>
    </xf>
    <xf numFmtId="167" fontId="3" fillId="0" borderId="11" xfId="0" applyNumberFormat="1" applyFont="1" applyBorder="1" applyAlignment="1">
      <alignment horizontal="right" vertical="center"/>
    </xf>
    <xf numFmtId="166" fontId="3" fillId="7" borderId="12" xfId="0" applyNumberFormat="1" applyFont="1" applyFill="1" applyBorder="1" applyAlignment="1">
      <alignment horizontal="right" vertical="center"/>
    </xf>
    <xf numFmtId="49" fontId="3" fillId="3" borderId="14" xfId="0" applyNumberFormat="1" applyFont="1" applyFill="1" applyBorder="1" applyAlignment="1">
      <alignment horizontal="center" vertical="center" wrapText="1"/>
    </xf>
    <xf numFmtId="49" fontId="3" fillId="2" borderId="14" xfId="0" applyNumberFormat="1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166" fontId="3" fillId="2" borderId="14" xfId="0" applyNumberFormat="1" applyFont="1" applyFill="1" applyBorder="1" applyAlignment="1">
      <alignment horizontal="right" vertical="center"/>
    </xf>
    <xf numFmtId="4" fontId="6" fillId="2" borderId="14" xfId="0" applyNumberFormat="1" applyFont="1" applyFill="1" applyBorder="1" applyAlignment="1">
      <alignment horizontal="right" vertical="center"/>
    </xf>
    <xf numFmtId="167" fontId="3" fillId="0" borderId="13" xfId="0" applyNumberFormat="1" applyFont="1" applyBorder="1" applyAlignment="1">
      <alignment horizontal="right" vertical="center"/>
    </xf>
    <xf numFmtId="166" fontId="3" fillId="7" borderId="14" xfId="0" applyNumberFormat="1" applyFont="1" applyFill="1" applyBorder="1" applyAlignment="1">
      <alignment horizontal="right" vertical="center"/>
    </xf>
    <xf numFmtId="166" fontId="3" fillId="8" borderId="12" xfId="0" applyNumberFormat="1" applyFont="1" applyFill="1" applyBorder="1" applyAlignment="1">
      <alignment horizontal="right" vertical="center"/>
    </xf>
    <xf numFmtId="166" fontId="3" fillId="9" borderId="12" xfId="0" applyNumberFormat="1" applyFont="1" applyFill="1" applyBorder="1" applyAlignment="1">
      <alignment horizontal="right" vertical="center"/>
    </xf>
    <xf numFmtId="49" fontId="3" fillId="6" borderId="12" xfId="0" applyNumberFormat="1" applyFont="1" applyFill="1" applyBorder="1" applyAlignment="1">
      <alignment horizontal="center" vertical="center" wrapText="1"/>
    </xf>
    <xf numFmtId="4" fontId="6" fillId="10" borderId="12" xfId="0" applyNumberFormat="1" applyFont="1" applyFill="1" applyBorder="1" applyAlignment="1">
      <alignment horizontal="center" vertical="center" wrapText="1"/>
    </xf>
    <xf numFmtId="164" fontId="6" fillId="10" borderId="12" xfId="0" applyNumberFormat="1" applyFont="1" applyFill="1" applyBorder="1" applyAlignment="1">
      <alignment horizontal="center" vertical="center"/>
    </xf>
    <xf numFmtId="0" fontId="8" fillId="2" borderId="15" xfId="0" applyFont="1" applyFill="1" applyBorder="1" applyAlignment="1"/>
    <xf numFmtId="0" fontId="3" fillId="2" borderId="16" xfId="0" applyFont="1" applyFill="1" applyBorder="1" applyAlignment="1"/>
    <xf numFmtId="0" fontId="3" fillId="2" borderId="16" xfId="0" applyFont="1" applyFill="1" applyBorder="1" applyAlignment="1">
      <alignment horizontal="center"/>
    </xf>
    <xf numFmtId="0" fontId="3" fillId="2" borderId="17" xfId="0" applyFont="1" applyFill="1" applyBorder="1" applyAlignment="1"/>
    <xf numFmtId="0" fontId="3" fillId="2" borderId="4" xfId="0" applyFont="1" applyFill="1" applyBorder="1" applyAlignment="1"/>
    <xf numFmtId="0" fontId="5" fillId="2" borderId="16" xfId="0" applyFont="1" applyFill="1" applyBorder="1" applyAlignment="1"/>
    <xf numFmtId="0" fontId="4" fillId="0" borderId="0" xfId="0" applyFont="1" applyAlignment="1">
      <alignment horizontal="center" vertical="center"/>
    </xf>
    <xf numFmtId="4" fontId="3" fillId="2" borderId="4" xfId="0" applyNumberFormat="1" applyFont="1" applyFill="1" applyBorder="1" applyAlignment="1"/>
    <xf numFmtId="166" fontId="3" fillId="2" borderId="4" xfId="0" applyNumberFormat="1" applyFont="1" applyFill="1" applyBorder="1" applyAlignment="1"/>
    <xf numFmtId="4" fontId="4" fillId="0" borderId="0" xfId="0" applyNumberFormat="1" applyFont="1" applyAlignment="1"/>
    <xf numFmtId="0" fontId="5" fillId="2" borderId="4" xfId="0" applyFont="1" applyFill="1" applyBorder="1" applyAlignment="1"/>
    <xf numFmtId="0" fontId="8" fillId="2" borderId="4" xfId="0" applyFont="1" applyFill="1" applyBorder="1" applyAlignment="1">
      <alignment horizontal="left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0" xfId="0" applyFont="1" applyAlignment="1"/>
    <xf numFmtId="4" fontId="10" fillId="2" borderId="12" xfId="0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/>
    <xf numFmtId="1" fontId="9" fillId="5" borderId="12" xfId="0" applyNumberFormat="1" applyFont="1" applyFill="1" applyBorder="1" applyAlignment="1"/>
    <xf numFmtId="4" fontId="9" fillId="5" borderId="12" xfId="0" applyNumberFormat="1" applyFont="1" applyFill="1" applyBorder="1" applyAlignment="1"/>
    <xf numFmtId="1" fontId="4" fillId="5" borderId="12" xfId="0" applyNumberFormat="1" applyFont="1" applyFill="1" applyBorder="1" applyAlignment="1"/>
    <xf numFmtId="4" fontId="9" fillId="5" borderId="12" xfId="0" applyNumberFormat="1" applyFont="1" applyFill="1" applyBorder="1" applyAlignment="1">
      <alignment horizontal="center"/>
    </xf>
    <xf numFmtId="166" fontId="3" fillId="2" borderId="4" xfId="0" applyNumberFormat="1" applyFont="1" applyFill="1" applyBorder="1" applyAlignment="1">
      <alignment horizontal="center" vertical="center"/>
    </xf>
    <xf numFmtId="0" fontId="8" fillId="0" borderId="0" xfId="0" applyFont="1" applyAlignment="1"/>
    <xf numFmtId="1" fontId="9" fillId="4" borderId="12" xfId="0" applyNumberFormat="1" applyFont="1" applyFill="1" applyBorder="1" applyAlignment="1"/>
    <xf numFmtId="4" fontId="9" fillId="4" borderId="12" xfId="0" applyNumberFormat="1" applyFont="1" applyFill="1" applyBorder="1" applyAlignment="1"/>
    <xf numFmtId="4" fontId="6" fillId="0" borderId="0" xfId="0" applyNumberFormat="1" applyFont="1" applyAlignment="1"/>
    <xf numFmtId="1" fontId="4" fillId="4" borderId="12" xfId="0" applyNumberFormat="1" applyFont="1" applyFill="1" applyBorder="1" applyAlignment="1"/>
    <xf numFmtId="4" fontId="4" fillId="2" borderId="4" xfId="0" applyNumberFormat="1" applyFont="1" applyFill="1" applyBorder="1" applyAlignment="1"/>
    <xf numFmtId="4" fontId="9" fillId="4" borderId="12" xfId="0" applyNumberFormat="1" applyFont="1" applyFill="1" applyBorder="1" applyAlignment="1">
      <alignment horizontal="center"/>
    </xf>
    <xf numFmtId="1" fontId="9" fillId="7" borderId="12" xfId="0" applyNumberFormat="1" applyFont="1" applyFill="1" applyBorder="1" applyAlignment="1"/>
    <xf numFmtId="4" fontId="9" fillId="7" borderId="12" xfId="0" applyNumberFormat="1" applyFont="1" applyFill="1" applyBorder="1" applyAlignment="1"/>
    <xf numFmtId="1" fontId="4" fillId="7" borderId="12" xfId="0" applyNumberFormat="1" applyFont="1" applyFill="1" applyBorder="1" applyAlignment="1"/>
    <xf numFmtId="0" fontId="4" fillId="2" borderId="4" xfId="0" applyFont="1" applyFill="1" applyBorder="1" applyAlignment="1"/>
    <xf numFmtId="4" fontId="9" fillId="7" borderId="12" xfId="0" applyNumberFormat="1" applyFont="1" applyFill="1" applyBorder="1" applyAlignment="1">
      <alignment horizontal="center"/>
    </xf>
    <xf numFmtId="0" fontId="4" fillId="0" borderId="25" xfId="0" applyFont="1" applyBorder="1" applyAlignment="1"/>
    <xf numFmtId="164" fontId="6" fillId="0" borderId="12" xfId="0" applyNumberFormat="1" applyFont="1" applyBorder="1" applyAlignment="1">
      <alignment horizontal="center"/>
    </xf>
    <xf numFmtId="4" fontId="9" fillId="2" borderId="12" xfId="0" applyNumberFormat="1" applyFont="1" applyFill="1" applyBorder="1" applyAlignment="1"/>
    <xf numFmtId="0" fontId="4" fillId="6" borderId="25" xfId="0" applyFont="1" applyFill="1" applyBorder="1" applyAlignment="1"/>
    <xf numFmtId="166" fontId="4" fillId="6" borderId="25" xfId="0" applyNumberFormat="1" applyFont="1" applyFill="1" applyBorder="1" applyAlignment="1"/>
    <xf numFmtId="4" fontId="4" fillId="0" borderId="25" xfId="0" applyNumberFormat="1" applyFont="1" applyBorder="1" applyAlignment="1"/>
    <xf numFmtId="4" fontId="9" fillId="0" borderId="0" xfId="0" applyNumberFormat="1" applyFont="1" applyAlignment="1"/>
    <xf numFmtId="166" fontId="4" fillId="0" borderId="25" xfId="0" applyNumberFormat="1" applyFont="1" applyBorder="1" applyAlignment="1"/>
    <xf numFmtId="167" fontId="4" fillId="0" borderId="0" xfId="0" applyNumberFormat="1" applyFont="1" applyAlignment="1"/>
    <xf numFmtId="0" fontId="4" fillId="4" borderId="12" xfId="0" applyFont="1" applyFill="1" applyBorder="1" applyAlignment="1"/>
    <xf numFmtId="4" fontId="4" fillId="4" borderId="12" xfId="0" applyNumberFormat="1" applyFont="1" applyFill="1" applyBorder="1" applyAlignment="1"/>
    <xf numFmtId="164" fontId="3" fillId="2" borderId="9" xfId="0" applyNumberFormat="1" applyFont="1" applyFill="1" applyBorder="1" applyAlignment="1">
      <alignment horizontal="center"/>
    </xf>
    <xf numFmtId="49" fontId="3" fillId="2" borderId="12" xfId="0" applyNumberFormat="1" applyFont="1" applyFill="1" applyBorder="1" applyAlignment="1">
      <alignment horizontal="center" vertical="center" wrapText="1"/>
    </xf>
    <xf numFmtId="166" fontId="3" fillId="2" borderId="12" xfId="0" applyNumberFormat="1" applyFont="1" applyFill="1" applyBorder="1" applyAlignment="1">
      <alignment horizontal="right" vertical="center"/>
    </xf>
    <xf numFmtId="166" fontId="3" fillId="4" borderId="12" xfId="0" applyNumberFormat="1" applyFont="1" applyFill="1" applyBorder="1" applyAlignment="1">
      <alignment horizontal="right" vertical="center"/>
    </xf>
    <xf numFmtId="166" fontId="3" fillId="5" borderId="12" xfId="0" applyNumberFormat="1" applyFont="1" applyFill="1" applyBorder="1" applyAlignment="1">
      <alignment horizontal="right" vertical="center"/>
    </xf>
    <xf numFmtId="167" fontId="3" fillId="0" borderId="12" xfId="0" applyNumberFormat="1" applyFont="1" applyBorder="1" applyAlignment="1">
      <alignment horizontal="right" vertical="center"/>
    </xf>
    <xf numFmtId="166" fontId="3" fillId="0" borderId="12" xfId="0" applyNumberFormat="1" applyFont="1" applyBorder="1" applyAlignment="1">
      <alignment horizontal="right" vertical="center"/>
    </xf>
    <xf numFmtId="167" fontId="3" fillId="0" borderId="3" xfId="0" applyNumberFormat="1" applyFont="1" applyBorder="1" applyAlignment="1">
      <alignment horizontal="right" vertical="center"/>
    </xf>
    <xf numFmtId="166" fontId="3" fillId="9" borderId="12" xfId="0" applyNumberFormat="1" applyFont="1" applyFill="1" applyBorder="1" applyAlignment="1">
      <alignment horizontal="right" vertical="center"/>
    </xf>
    <xf numFmtId="167" fontId="3" fillId="0" borderId="11" xfId="0" applyNumberFormat="1" applyFont="1" applyBorder="1" applyAlignment="1">
      <alignment horizontal="right" vertical="center"/>
    </xf>
    <xf numFmtId="166" fontId="3" fillId="7" borderId="12" xfId="0" applyNumberFormat="1" applyFont="1" applyFill="1" applyBorder="1" applyAlignment="1">
      <alignment horizontal="right" vertical="center"/>
    </xf>
    <xf numFmtId="49" fontId="3" fillId="0" borderId="12" xfId="0" applyNumberFormat="1" applyFont="1" applyBorder="1" applyAlignment="1">
      <alignment horizontal="center" vertical="center" wrapText="1"/>
    </xf>
    <xf numFmtId="166" fontId="3" fillId="8" borderId="12" xfId="0" applyNumberFormat="1" applyFont="1" applyFill="1" applyBorder="1" applyAlignment="1">
      <alignment horizontal="right" vertical="center"/>
    </xf>
    <xf numFmtId="0" fontId="3" fillId="2" borderId="0" xfId="0" applyFont="1" applyFill="1" applyAlignment="1">
      <alignment horizontal="center"/>
    </xf>
    <xf numFmtId="164" fontId="3" fillId="2" borderId="0" xfId="0" applyNumberFormat="1" applyFont="1" applyFill="1" applyAlignment="1">
      <alignment horizontal="center"/>
    </xf>
    <xf numFmtId="4" fontId="4" fillId="0" borderId="0" xfId="0" applyNumberFormat="1" applyFont="1" applyAlignment="1"/>
    <xf numFmtId="4" fontId="6" fillId="2" borderId="12" xfId="0" applyNumberFormat="1" applyFont="1" applyFill="1" applyBorder="1" applyAlignment="1">
      <alignment horizontal="right" vertical="center"/>
    </xf>
    <xf numFmtId="49" fontId="3" fillId="3" borderId="12" xfId="0" applyNumberFormat="1" applyFont="1" applyFill="1" applyBorder="1" applyAlignment="1">
      <alignment horizontal="center" vertical="center" wrapText="1"/>
    </xf>
    <xf numFmtId="0" fontId="3" fillId="9" borderId="1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7" borderId="12" xfId="0" applyFont="1" applyFill="1" applyBorder="1" applyAlignment="1">
      <alignment horizontal="center" vertical="center" wrapText="1"/>
    </xf>
    <xf numFmtId="0" fontId="3" fillId="2" borderId="12" xfId="0" quotePrefix="1" applyFont="1" applyFill="1" applyBorder="1" applyAlignment="1">
      <alignment horizontal="right" vertical="center"/>
    </xf>
    <xf numFmtId="0" fontId="3" fillId="9" borderId="12" xfId="0" applyFont="1" applyFill="1" applyBorder="1" applyAlignment="1">
      <alignment horizontal="center" vertical="center" wrapText="1"/>
    </xf>
    <xf numFmtId="0" fontId="4" fillId="0" borderId="0" xfId="0" applyFont="1" applyAlignment="1"/>
    <xf numFmtId="0" fontId="3" fillId="5" borderId="12" xfId="0" applyFont="1" applyFill="1" applyBorder="1" applyAlignment="1">
      <alignment horizontal="center" vertical="center" wrapText="1"/>
    </xf>
    <xf numFmtId="0" fontId="3" fillId="11" borderId="12" xfId="0" applyFont="1" applyFill="1" applyBorder="1" applyAlignment="1">
      <alignment horizontal="center" vertical="center" wrapText="1"/>
    </xf>
    <xf numFmtId="0" fontId="3" fillId="11" borderId="12" xfId="0" applyFont="1" applyFill="1" applyBorder="1" applyAlignment="1">
      <alignment horizontal="center" vertical="center" wrapText="1"/>
    </xf>
    <xf numFmtId="0" fontId="11" fillId="2" borderId="0" xfId="0" applyFont="1" applyFill="1"/>
    <xf numFmtId="166" fontId="3" fillId="2" borderId="3" xfId="0" applyNumberFormat="1" applyFont="1" applyFill="1" applyBorder="1" applyAlignment="1">
      <alignment horizontal="right" vertical="center"/>
    </xf>
    <xf numFmtId="166" fontId="3" fillId="11" borderId="12" xfId="0" applyNumberFormat="1" applyFont="1" applyFill="1" applyBorder="1" applyAlignment="1">
      <alignment horizontal="right" vertical="center"/>
    </xf>
    <xf numFmtId="4" fontId="3" fillId="0" borderId="12" xfId="0" applyNumberFormat="1" applyFont="1" applyBorder="1" applyAlignment="1">
      <alignment horizontal="right" vertical="center"/>
    </xf>
    <xf numFmtId="0" fontId="4" fillId="0" borderId="0" xfId="0" applyFont="1" applyAlignment="1">
      <alignment horizontal="center"/>
    </xf>
    <xf numFmtId="0" fontId="0" fillId="0" borderId="0" xfId="0" applyFont="1" applyAlignment="1"/>
    <xf numFmtId="0" fontId="9" fillId="2" borderId="1" xfId="0" applyFont="1" applyFill="1" applyBorder="1" applyAlignment="1">
      <alignment horizontal="center" vertical="center"/>
    </xf>
    <xf numFmtId="0" fontId="2" fillId="0" borderId="3" xfId="0" applyFont="1" applyBorder="1"/>
    <xf numFmtId="164" fontId="9" fillId="2" borderId="1" xfId="0" applyNumberFormat="1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 wrapText="1"/>
    </xf>
    <xf numFmtId="0" fontId="2" fillId="0" borderId="11" xfId="0" applyFont="1" applyBorder="1"/>
    <xf numFmtId="49" fontId="7" fillId="6" borderId="1" xfId="0" applyNumberFormat="1" applyFont="1" applyFill="1" applyBorder="1" applyAlignment="1">
      <alignment horizontal="center" vertical="center" wrapText="1"/>
    </xf>
    <xf numFmtId="0" fontId="2" fillId="0" borderId="2" xfId="0" applyFont="1" applyBorder="1"/>
    <xf numFmtId="49" fontId="4" fillId="6" borderId="1" xfId="0" applyNumberFormat="1" applyFont="1" applyFill="1" applyBorder="1" applyAlignment="1">
      <alignment horizontal="center" vertical="center" wrapText="1"/>
    </xf>
    <xf numFmtId="49" fontId="4" fillId="10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/>
    </xf>
    <xf numFmtId="0" fontId="4" fillId="2" borderId="5" xfId="0" applyFont="1" applyFill="1" applyBorder="1" applyAlignment="1"/>
    <xf numFmtId="0" fontId="2" fillId="0" borderId="6" xfId="0" applyFont="1" applyBorder="1"/>
    <xf numFmtId="0" fontId="2" fillId="0" borderId="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21" xfId="0" applyFont="1" applyBorder="1"/>
    <xf numFmtId="0" fontId="2" fillId="0" borderId="13" xfId="0" applyFont="1" applyBorder="1"/>
    <xf numFmtId="0" fontId="4" fillId="0" borderId="22" xfId="0" applyFont="1" applyBorder="1" applyAlignment="1">
      <alignment horizontal="center"/>
    </xf>
    <xf numFmtId="0" fontId="2" fillId="0" borderId="23" xfId="0" applyFont="1" applyBorder="1"/>
    <xf numFmtId="0" fontId="2" fillId="0" borderId="24" xfId="0" applyFont="1" applyBorder="1"/>
    <xf numFmtId="0" fontId="1" fillId="0" borderId="1" xfId="0" applyFont="1" applyBorder="1" applyAlignment="1">
      <alignment horizontal="left" vertical="center"/>
    </xf>
    <xf numFmtId="0" fontId="6" fillId="0" borderId="0" xfId="0" applyFont="1" applyAlignment="1">
      <alignment horizontal="center"/>
    </xf>
    <xf numFmtId="0" fontId="6" fillId="0" borderId="1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9" Type="http://customschemas.google.com/relationships/workbookmetadata" Target="metadata"/><Relationship Id="rId3" Type="http://schemas.openxmlformats.org/officeDocument/2006/relationships/worksheet" Target="worksheets/sheet3.xml"/><Relationship Id="rId4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40" Type="http://schemas.openxmlformats.org/officeDocument/2006/relationships/theme" Target="theme/theme1.xml"/><Relationship Id="rId43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A1000"/>
  <sheetViews>
    <sheetView workbookViewId="0"/>
  </sheetViews>
  <sheetFormatPr defaultColWidth="12.625" defaultRowHeight="15" customHeight="1"/>
  <cols>
    <col min="1" max="1" width="9.125" customWidth="1"/>
    <col min="2" max="2" width="9.875" customWidth="1"/>
    <col min="3" max="3" width="9.125" customWidth="1"/>
    <col min="4" max="4" width="14" customWidth="1"/>
    <col min="5" max="5" width="9.125" customWidth="1"/>
    <col min="6" max="6" width="11.375" customWidth="1"/>
    <col min="7" max="7" width="14" customWidth="1"/>
    <col min="8" max="10" width="9.125" customWidth="1"/>
    <col min="11" max="11" width="13.25" customWidth="1"/>
    <col min="12" max="12" width="10.375" customWidth="1"/>
    <col min="13" max="13" width="14" customWidth="1"/>
    <col min="14" max="14" width="13.625" customWidth="1"/>
    <col min="15" max="16" width="9.125" customWidth="1"/>
    <col min="17" max="17" width="10.375" customWidth="1"/>
    <col min="18" max="18" width="12.75" customWidth="1"/>
    <col min="19" max="19" width="11.75" customWidth="1"/>
    <col min="20" max="20" width="12.375" customWidth="1"/>
    <col min="21" max="21" width="13.875" customWidth="1"/>
    <col min="22" max="22" width="9.125" customWidth="1"/>
    <col min="23" max="23" width="14.625" customWidth="1"/>
    <col min="24" max="24" width="9.125" customWidth="1"/>
    <col min="25" max="25" width="10.75" customWidth="1"/>
    <col min="26" max="27" width="9.125" customWidth="1"/>
  </cols>
  <sheetData>
    <row r="1" spans="1:27" ht="14.25" customHeight="1">
      <c r="A1" s="157" t="s">
        <v>0</v>
      </c>
      <c r="B1" s="142"/>
      <c r="C1" s="137"/>
      <c r="D1" s="1"/>
      <c r="E1" s="1"/>
      <c r="F1" s="1"/>
      <c r="G1" s="1"/>
      <c r="H1" s="2"/>
      <c r="I1" s="2"/>
      <c r="J1" s="3"/>
      <c r="K1" s="1"/>
      <c r="L1" s="1"/>
      <c r="M1" s="1"/>
      <c r="N1" s="1"/>
      <c r="O1" s="1"/>
      <c r="P1" s="1"/>
      <c r="Q1" s="1"/>
      <c r="R1" s="1"/>
      <c r="S1" s="1"/>
      <c r="T1" s="1"/>
      <c r="U1" s="4"/>
      <c r="V1" s="5"/>
      <c r="W1" s="5"/>
      <c r="X1" s="5"/>
      <c r="Y1" s="5"/>
      <c r="Z1" s="5"/>
      <c r="AA1" s="5"/>
    </row>
    <row r="2" spans="1:27" ht="14.25" customHeight="1">
      <c r="A2" s="161" t="s">
        <v>1</v>
      </c>
      <c r="B2" s="147"/>
      <c r="C2" s="148"/>
      <c r="D2" s="1"/>
      <c r="E2" s="1"/>
      <c r="F2" s="1"/>
      <c r="G2" s="1"/>
      <c r="H2" s="2"/>
      <c r="I2" s="2"/>
      <c r="J2" s="3"/>
      <c r="K2" s="1"/>
      <c r="L2" s="1"/>
      <c r="M2" s="1"/>
      <c r="N2" s="1"/>
      <c r="O2" s="1"/>
      <c r="P2" s="1"/>
      <c r="Q2" s="1"/>
      <c r="R2" s="1"/>
      <c r="S2" s="1"/>
      <c r="T2" s="1"/>
      <c r="U2" s="4"/>
      <c r="V2" s="5"/>
      <c r="W2" s="5"/>
      <c r="X2" s="5"/>
      <c r="Y2" s="5"/>
      <c r="Z2" s="5"/>
      <c r="AA2" s="5"/>
    </row>
    <row r="3" spans="1:27" ht="14.25" customHeight="1">
      <c r="A3" s="161" t="s">
        <v>2</v>
      </c>
      <c r="B3" s="147"/>
      <c r="C3" s="147"/>
      <c r="D3" s="147"/>
      <c r="E3" s="147"/>
      <c r="F3" s="6"/>
      <c r="G3" s="1"/>
      <c r="H3" s="2"/>
      <c r="I3" s="2"/>
      <c r="J3" s="3"/>
      <c r="K3" s="1"/>
      <c r="L3" s="1"/>
      <c r="M3" s="1"/>
      <c r="N3" s="1"/>
      <c r="O3" s="1"/>
      <c r="P3" s="1"/>
      <c r="Q3" s="1"/>
      <c r="R3" s="1"/>
      <c r="S3" s="1"/>
      <c r="T3" s="1"/>
      <c r="U3" s="4"/>
      <c r="V3" s="5"/>
      <c r="W3" s="5"/>
      <c r="X3" s="5"/>
      <c r="Y3" s="5"/>
      <c r="Z3" s="5"/>
      <c r="AA3" s="5"/>
    </row>
    <row r="4" spans="1:27" ht="14.25" customHeight="1">
      <c r="A4" s="157" t="s">
        <v>3</v>
      </c>
      <c r="B4" s="142"/>
      <c r="C4" s="142"/>
      <c r="D4" s="142"/>
      <c r="E4" s="142"/>
      <c r="F4" s="7"/>
      <c r="G4" s="1"/>
      <c r="H4" s="2"/>
      <c r="I4" s="2"/>
      <c r="J4" s="3"/>
      <c r="K4" s="1"/>
      <c r="L4" s="1"/>
      <c r="M4" s="1"/>
      <c r="N4" s="1"/>
      <c r="O4" s="1"/>
      <c r="P4" s="1"/>
      <c r="Q4" s="1"/>
      <c r="R4" s="1"/>
      <c r="S4" s="1"/>
      <c r="T4" s="1"/>
      <c r="U4" s="4"/>
      <c r="V4" s="5"/>
      <c r="W4" s="5"/>
      <c r="X4" s="5"/>
      <c r="Y4" s="5"/>
      <c r="Z4" s="5"/>
      <c r="AA4" s="5"/>
    </row>
    <row r="5" spans="1:27" ht="14.25" customHeight="1">
      <c r="A5" s="8" t="s">
        <v>4</v>
      </c>
      <c r="B5" s="8"/>
      <c r="C5" s="8"/>
      <c r="D5" s="8"/>
      <c r="E5" s="8"/>
      <c r="F5" s="8"/>
      <c r="G5" s="9"/>
      <c r="H5" s="2"/>
      <c r="I5" s="2"/>
      <c r="J5" s="3"/>
      <c r="K5" s="1"/>
      <c r="L5" s="1"/>
      <c r="M5" s="1"/>
      <c r="N5" s="1"/>
      <c r="O5" s="1"/>
      <c r="P5" s="1"/>
      <c r="Q5" s="1"/>
      <c r="R5" s="1"/>
      <c r="S5" s="1"/>
      <c r="T5" s="1"/>
      <c r="U5" s="4"/>
      <c r="V5" s="5"/>
      <c r="W5" s="5"/>
      <c r="X5" s="5"/>
      <c r="Y5" s="5"/>
      <c r="Z5" s="5"/>
      <c r="AA5" s="5"/>
    </row>
    <row r="6" spans="1:27" ht="14.25" customHeight="1">
      <c r="A6" s="157" t="s">
        <v>5</v>
      </c>
      <c r="B6" s="142"/>
      <c r="C6" s="142"/>
      <c r="D6" s="142"/>
      <c r="E6" s="142"/>
      <c r="F6" s="7"/>
      <c r="G6" s="1"/>
      <c r="H6" s="2"/>
      <c r="I6" s="2"/>
      <c r="J6" s="3"/>
      <c r="K6" s="1"/>
      <c r="L6" s="1"/>
      <c r="M6" s="1"/>
      <c r="N6" s="1"/>
      <c r="O6" s="1"/>
      <c r="P6" s="1"/>
      <c r="Q6" s="1"/>
      <c r="R6" s="1"/>
      <c r="S6" s="1"/>
      <c r="T6" s="1"/>
      <c r="U6" s="4"/>
      <c r="V6" s="5"/>
      <c r="W6" s="5"/>
      <c r="X6" s="5"/>
      <c r="Y6" s="5"/>
      <c r="Z6" s="5"/>
      <c r="AA6" s="5"/>
    </row>
    <row r="7" spans="1:27" ht="14.25" customHeight="1">
      <c r="A7" s="157" t="s">
        <v>6</v>
      </c>
      <c r="B7" s="142"/>
      <c r="C7" s="142"/>
      <c r="D7" s="142"/>
      <c r="E7" s="142"/>
      <c r="F7" s="7"/>
      <c r="G7" s="1"/>
      <c r="H7" s="2"/>
      <c r="I7" s="2"/>
      <c r="J7" s="3"/>
      <c r="K7" s="1"/>
      <c r="L7" s="1"/>
      <c r="M7" s="1"/>
      <c r="N7" s="1"/>
      <c r="O7" s="1"/>
      <c r="P7" s="1"/>
      <c r="Q7" s="1"/>
      <c r="R7" s="1"/>
      <c r="S7" s="1"/>
      <c r="T7" s="1"/>
      <c r="U7" s="4"/>
      <c r="V7" s="5"/>
      <c r="W7" s="5"/>
      <c r="X7" s="5"/>
      <c r="Y7" s="5"/>
      <c r="Z7" s="5"/>
      <c r="AA7" s="5"/>
    </row>
    <row r="8" spans="1:27" ht="14.25" customHeight="1">
      <c r="A8" s="5"/>
      <c r="B8" s="5"/>
      <c r="C8" s="5"/>
      <c r="D8" s="10"/>
      <c r="E8" s="1"/>
      <c r="F8" s="1"/>
      <c r="G8" s="1"/>
      <c r="H8" s="2"/>
      <c r="I8" s="2"/>
      <c r="J8" s="3"/>
      <c r="K8" s="1"/>
      <c r="L8" s="1"/>
      <c r="M8" s="1"/>
      <c r="N8" s="1"/>
      <c r="O8" s="1"/>
      <c r="P8" s="1"/>
      <c r="Q8" s="1"/>
      <c r="R8" s="1"/>
      <c r="S8" s="1"/>
      <c r="T8" s="1"/>
      <c r="U8" s="4"/>
      <c r="V8" s="5"/>
      <c r="W8" s="5"/>
      <c r="X8" s="5"/>
      <c r="Y8" s="5"/>
      <c r="Z8" s="5"/>
      <c r="AA8" s="5"/>
    </row>
    <row r="9" spans="1:27" ht="14.25" customHeight="1">
      <c r="A9" s="5"/>
      <c r="B9" s="5"/>
      <c r="C9" s="5"/>
      <c r="D9" s="11"/>
      <c r="E9" s="1"/>
      <c r="F9" s="1"/>
      <c r="G9" s="1"/>
      <c r="H9" s="2"/>
      <c r="I9" s="2"/>
      <c r="J9" s="3"/>
      <c r="K9" s="1"/>
      <c r="L9" s="1"/>
      <c r="M9" s="1"/>
      <c r="N9" s="1"/>
      <c r="O9" s="1"/>
      <c r="P9" s="1"/>
      <c r="Q9" s="1"/>
      <c r="R9" s="1"/>
      <c r="S9" s="1"/>
      <c r="T9" s="1"/>
      <c r="U9" s="4"/>
      <c r="V9" s="5"/>
      <c r="W9" s="5"/>
      <c r="X9" s="5"/>
      <c r="Y9" s="5"/>
      <c r="Z9" s="5"/>
      <c r="AA9" s="5"/>
    </row>
    <row r="10" spans="1:27" ht="14.25" customHeight="1">
      <c r="A10" s="158" t="s">
        <v>7</v>
      </c>
      <c r="B10" s="135"/>
      <c r="C10" s="135"/>
      <c r="D10" s="135"/>
      <c r="E10" s="135"/>
      <c r="F10" s="135"/>
      <c r="G10" s="135"/>
      <c r="H10" s="135"/>
      <c r="I10" s="135"/>
      <c r="J10" s="135"/>
      <c r="K10" s="135"/>
      <c r="L10" s="135"/>
      <c r="M10" s="135"/>
      <c r="N10" s="135"/>
      <c r="O10" s="135"/>
      <c r="P10" s="135"/>
      <c r="Q10" s="135"/>
      <c r="R10" s="135"/>
      <c r="S10" s="135"/>
      <c r="T10" s="135"/>
      <c r="U10" s="135"/>
      <c r="V10" s="135"/>
      <c r="W10" s="135"/>
      <c r="X10" s="135"/>
      <c r="Y10" s="5"/>
      <c r="Z10" s="5"/>
      <c r="AA10" s="5"/>
    </row>
    <row r="11" spans="1:27" ht="14.25" customHeight="1">
      <c r="A11" s="1"/>
      <c r="B11" s="1"/>
      <c r="C11" s="1"/>
      <c r="D11" s="1"/>
      <c r="E11" s="1"/>
      <c r="F11" s="1"/>
      <c r="G11" s="1"/>
      <c r="H11" s="2"/>
      <c r="I11" s="2"/>
      <c r="J11" s="12"/>
      <c r="K11" s="1"/>
      <c r="L11" s="1"/>
      <c r="M11" s="1"/>
      <c r="N11" s="1"/>
      <c r="O11" s="1"/>
      <c r="P11" s="1"/>
      <c r="Q11" s="1"/>
      <c r="R11" s="1"/>
      <c r="S11" s="1"/>
      <c r="T11" s="1"/>
      <c r="U11" s="4"/>
      <c r="V11" s="1"/>
      <c r="W11" s="13"/>
      <c r="X11" s="1"/>
      <c r="Y11" s="5"/>
      <c r="Z11" s="5"/>
      <c r="AA11" s="5"/>
    </row>
    <row r="12" spans="1:27" ht="14.25" customHeight="1">
      <c r="A12" s="160" t="s">
        <v>8</v>
      </c>
      <c r="B12" s="142"/>
      <c r="C12" s="142"/>
      <c r="D12" s="142"/>
      <c r="E12" s="142"/>
      <c r="F12" s="142"/>
      <c r="G12" s="142"/>
      <c r="H12" s="142"/>
      <c r="I12" s="142"/>
      <c r="J12" s="137"/>
      <c r="K12" s="159" t="s">
        <v>9</v>
      </c>
      <c r="L12" s="160" t="s">
        <v>10</v>
      </c>
      <c r="M12" s="137"/>
      <c r="N12" s="159" t="s">
        <v>11</v>
      </c>
      <c r="O12" s="159" t="s">
        <v>12</v>
      </c>
      <c r="P12" s="160" t="s">
        <v>13</v>
      </c>
      <c r="Q12" s="137"/>
      <c r="R12" s="159" t="s">
        <v>14</v>
      </c>
      <c r="S12" s="160" t="s">
        <v>15</v>
      </c>
      <c r="T12" s="142"/>
      <c r="U12" s="142"/>
      <c r="V12" s="142"/>
      <c r="W12" s="142"/>
      <c r="X12" s="137"/>
      <c r="Y12" s="5"/>
      <c r="Z12" s="5"/>
      <c r="AA12" s="5"/>
    </row>
    <row r="13" spans="1:27" ht="14.25" customHeight="1">
      <c r="A13" s="160" t="s">
        <v>16</v>
      </c>
      <c r="B13" s="137"/>
      <c r="C13" s="159" t="s">
        <v>17</v>
      </c>
      <c r="D13" s="159" t="s">
        <v>18</v>
      </c>
      <c r="E13" s="160" t="s">
        <v>19</v>
      </c>
      <c r="F13" s="137"/>
      <c r="G13" s="159" t="s">
        <v>20</v>
      </c>
      <c r="H13" s="160" t="s">
        <v>21</v>
      </c>
      <c r="I13" s="137"/>
      <c r="J13" s="139" t="s">
        <v>22</v>
      </c>
      <c r="K13" s="140"/>
      <c r="L13" s="14" t="s">
        <v>23</v>
      </c>
      <c r="M13" s="14" t="s">
        <v>24</v>
      </c>
      <c r="N13" s="140"/>
      <c r="O13" s="140"/>
      <c r="P13" s="15" t="s">
        <v>25</v>
      </c>
      <c r="Q13" s="15" t="s">
        <v>26</v>
      </c>
      <c r="R13" s="140"/>
      <c r="S13" s="16" t="s">
        <v>27</v>
      </c>
      <c r="T13" s="17" t="s">
        <v>28</v>
      </c>
      <c r="U13" s="16" t="s">
        <v>29</v>
      </c>
      <c r="V13" s="18" t="s">
        <v>28</v>
      </c>
      <c r="W13" s="19" t="s">
        <v>30</v>
      </c>
      <c r="X13" s="18" t="s">
        <v>28</v>
      </c>
      <c r="Y13" s="5"/>
      <c r="Z13" s="5"/>
      <c r="AA13" s="5"/>
    </row>
    <row r="14" spans="1:27" ht="31.5" customHeight="1">
      <c r="A14" s="16" t="s">
        <v>31</v>
      </c>
      <c r="B14" s="16" t="s">
        <v>19</v>
      </c>
      <c r="C14" s="140"/>
      <c r="D14" s="140"/>
      <c r="E14" s="15" t="s">
        <v>32</v>
      </c>
      <c r="F14" s="15" t="s">
        <v>33</v>
      </c>
      <c r="G14" s="140"/>
      <c r="H14" s="15" t="s">
        <v>31</v>
      </c>
      <c r="I14" s="15" t="s">
        <v>19</v>
      </c>
      <c r="J14" s="140"/>
      <c r="K14" s="16" t="s">
        <v>34</v>
      </c>
      <c r="L14" s="15" t="s">
        <v>35</v>
      </c>
      <c r="M14" s="15" t="s">
        <v>36</v>
      </c>
      <c r="N14" s="15" t="s">
        <v>37</v>
      </c>
      <c r="O14" s="15" t="s">
        <v>38</v>
      </c>
      <c r="P14" s="15" t="s">
        <v>39</v>
      </c>
      <c r="Q14" s="15" t="s">
        <v>40</v>
      </c>
      <c r="R14" s="16" t="s">
        <v>41</v>
      </c>
      <c r="S14" s="20" t="s">
        <v>42</v>
      </c>
      <c r="T14" s="21" t="s">
        <v>43</v>
      </c>
      <c r="U14" s="20" t="s">
        <v>44</v>
      </c>
      <c r="V14" s="21" t="s">
        <v>45</v>
      </c>
      <c r="W14" s="19" t="s">
        <v>46</v>
      </c>
      <c r="X14" s="21" t="s">
        <v>47</v>
      </c>
      <c r="Y14" s="5"/>
      <c r="Z14" s="5"/>
      <c r="AA14" s="5"/>
    </row>
    <row r="15" spans="1:27" ht="63" customHeight="1">
      <c r="A15" s="22" t="s">
        <v>48</v>
      </c>
      <c r="B15" s="23" t="s">
        <v>49</v>
      </c>
      <c r="C15" s="23" t="s">
        <v>50</v>
      </c>
      <c r="D15" s="23" t="s">
        <v>51</v>
      </c>
      <c r="E15" s="23" t="s">
        <v>52</v>
      </c>
      <c r="F15" s="23" t="s">
        <v>53</v>
      </c>
      <c r="G15" s="23" t="s">
        <v>54</v>
      </c>
      <c r="H15" s="23" t="s">
        <v>55</v>
      </c>
      <c r="I15" s="23" t="s">
        <v>56</v>
      </c>
      <c r="J15" s="24">
        <v>3</v>
      </c>
      <c r="K15" s="25">
        <v>500000</v>
      </c>
      <c r="L15" s="25">
        <v>0</v>
      </c>
      <c r="M15" s="25">
        <v>0</v>
      </c>
      <c r="N15" s="26">
        <f t="shared" ref="N15:N29" si="0">K15+L15-M15</f>
        <v>500000</v>
      </c>
      <c r="O15" s="27"/>
      <c r="P15" s="27"/>
      <c r="Q15" s="27"/>
      <c r="R15" s="26">
        <f t="shared" ref="R15:R29" si="1">N15-O15+P15+Q15</f>
        <v>500000</v>
      </c>
      <c r="S15" s="25">
        <v>0</v>
      </c>
      <c r="T15" s="28">
        <f t="shared" ref="T15:T30" si="2">IF(R15&gt;0,S15/R15,0)</f>
        <v>0</v>
      </c>
      <c r="U15" s="29">
        <v>0</v>
      </c>
      <c r="V15" s="28">
        <f t="shared" ref="V15:V30" si="3">IF(R15&gt;0,U15/R15,0)</f>
        <v>0</v>
      </c>
      <c r="W15" s="25">
        <v>0</v>
      </c>
      <c r="X15" s="28">
        <f t="shared" ref="X15:X30" si="4">IF(R15&gt;0,W15/R15,0)</f>
        <v>0</v>
      </c>
      <c r="Y15" s="5"/>
      <c r="Z15" s="5"/>
      <c r="AA15" s="5"/>
    </row>
    <row r="16" spans="1:27" ht="63" customHeight="1">
      <c r="A16" s="22" t="s">
        <v>48</v>
      </c>
      <c r="B16" s="23" t="s">
        <v>49</v>
      </c>
      <c r="C16" s="23" t="s">
        <v>50</v>
      </c>
      <c r="D16" s="23" t="s">
        <v>57</v>
      </c>
      <c r="E16" s="23" t="s">
        <v>52</v>
      </c>
      <c r="F16" s="23" t="s">
        <v>58</v>
      </c>
      <c r="G16" s="23" t="s">
        <v>54</v>
      </c>
      <c r="H16" s="23" t="s">
        <v>55</v>
      </c>
      <c r="I16" s="23" t="s">
        <v>56</v>
      </c>
      <c r="J16" s="24">
        <v>3</v>
      </c>
      <c r="K16" s="25">
        <v>68272700</v>
      </c>
      <c r="L16" s="25">
        <v>0</v>
      </c>
      <c r="M16" s="25">
        <v>0</v>
      </c>
      <c r="N16" s="26">
        <f t="shared" si="0"/>
        <v>68272700</v>
      </c>
      <c r="O16" s="27"/>
      <c r="P16" s="27"/>
      <c r="Q16" s="27"/>
      <c r="R16" s="26">
        <f t="shared" si="1"/>
        <v>68272700</v>
      </c>
      <c r="S16" s="25">
        <v>5449512.0899999999</v>
      </c>
      <c r="T16" s="28">
        <f t="shared" si="2"/>
        <v>7.9819782870752143E-2</v>
      </c>
      <c r="U16" s="29">
        <v>5449512.0899999999</v>
      </c>
      <c r="V16" s="28">
        <f t="shared" si="3"/>
        <v>7.9819782870752143E-2</v>
      </c>
      <c r="W16" s="25">
        <v>5449512.0899999999</v>
      </c>
      <c r="X16" s="28">
        <f t="shared" si="4"/>
        <v>7.9819782870752143E-2</v>
      </c>
      <c r="Y16" s="30"/>
      <c r="Z16" s="5"/>
      <c r="AA16" s="5"/>
    </row>
    <row r="17" spans="1:27" ht="63" customHeight="1">
      <c r="A17" s="22" t="s">
        <v>48</v>
      </c>
      <c r="B17" s="23" t="s">
        <v>49</v>
      </c>
      <c r="C17" s="23" t="s">
        <v>50</v>
      </c>
      <c r="D17" s="23" t="s">
        <v>59</v>
      </c>
      <c r="E17" s="23" t="s">
        <v>52</v>
      </c>
      <c r="F17" s="23" t="s">
        <v>60</v>
      </c>
      <c r="G17" s="23" t="s">
        <v>54</v>
      </c>
      <c r="H17" s="23" t="s">
        <v>55</v>
      </c>
      <c r="I17" s="23" t="s">
        <v>56</v>
      </c>
      <c r="J17" s="31">
        <v>1</v>
      </c>
      <c r="K17" s="25">
        <v>414524310</v>
      </c>
      <c r="L17" s="25">
        <v>3584210.48</v>
      </c>
      <c r="M17" s="25">
        <v>3584210.48</v>
      </c>
      <c r="N17" s="26">
        <f t="shared" si="0"/>
        <v>414524310</v>
      </c>
      <c r="O17" s="27"/>
      <c r="P17" s="27"/>
      <c r="Q17" s="27"/>
      <c r="R17" s="26">
        <f t="shared" si="1"/>
        <v>414524310</v>
      </c>
      <c r="S17" s="25">
        <v>30454561.02</v>
      </c>
      <c r="T17" s="28">
        <f t="shared" si="2"/>
        <v>7.3468697215852072E-2</v>
      </c>
      <c r="U17" s="32">
        <v>30454561.02</v>
      </c>
      <c r="V17" s="28">
        <f t="shared" si="3"/>
        <v>7.3468697215852072E-2</v>
      </c>
      <c r="W17" s="25">
        <v>30435716.989999998</v>
      </c>
      <c r="X17" s="28">
        <f t="shared" si="4"/>
        <v>7.342323780721087E-2</v>
      </c>
      <c r="Y17" s="5"/>
      <c r="Z17" s="5"/>
      <c r="AA17" s="5"/>
    </row>
    <row r="18" spans="1:27" ht="63" customHeight="1">
      <c r="A18" s="22" t="s">
        <v>48</v>
      </c>
      <c r="B18" s="23" t="s">
        <v>49</v>
      </c>
      <c r="C18" s="33" t="s">
        <v>50</v>
      </c>
      <c r="D18" s="33" t="s">
        <v>61</v>
      </c>
      <c r="E18" s="23" t="s">
        <v>52</v>
      </c>
      <c r="F18" s="33" t="s">
        <v>62</v>
      </c>
      <c r="G18" s="33" t="s">
        <v>54</v>
      </c>
      <c r="H18" s="23" t="s">
        <v>55</v>
      </c>
      <c r="I18" s="33" t="s">
        <v>63</v>
      </c>
      <c r="J18" s="31">
        <v>1</v>
      </c>
      <c r="K18" s="34">
        <v>500000</v>
      </c>
      <c r="L18" s="35">
        <v>0</v>
      </c>
      <c r="M18" s="35">
        <v>0</v>
      </c>
      <c r="N18" s="36">
        <f t="shared" si="0"/>
        <v>500000</v>
      </c>
      <c r="O18" s="36"/>
      <c r="P18" s="36"/>
      <c r="Q18" s="36"/>
      <c r="R18" s="36">
        <f t="shared" si="1"/>
        <v>500000</v>
      </c>
      <c r="S18" s="37">
        <v>0</v>
      </c>
      <c r="T18" s="38">
        <f t="shared" si="2"/>
        <v>0</v>
      </c>
      <c r="U18" s="32">
        <v>0</v>
      </c>
      <c r="V18" s="38">
        <f t="shared" si="3"/>
        <v>0</v>
      </c>
      <c r="W18" s="35">
        <v>0</v>
      </c>
      <c r="X18" s="38">
        <f t="shared" si="4"/>
        <v>0</v>
      </c>
      <c r="Y18" s="5"/>
      <c r="Z18" s="5"/>
      <c r="AA18" s="5"/>
    </row>
    <row r="19" spans="1:27" ht="63" customHeight="1">
      <c r="A19" s="22" t="s">
        <v>48</v>
      </c>
      <c r="B19" s="23" t="s">
        <v>49</v>
      </c>
      <c r="C19" s="23" t="s">
        <v>50</v>
      </c>
      <c r="D19" s="23" t="s">
        <v>64</v>
      </c>
      <c r="E19" s="23" t="s">
        <v>65</v>
      </c>
      <c r="F19" s="23" t="s">
        <v>66</v>
      </c>
      <c r="G19" s="23" t="s">
        <v>54</v>
      </c>
      <c r="H19" s="23" t="s">
        <v>55</v>
      </c>
      <c r="I19" s="23" t="s">
        <v>56</v>
      </c>
      <c r="J19" s="24">
        <v>3</v>
      </c>
      <c r="K19" s="25">
        <v>18400000</v>
      </c>
      <c r="L19" s="25">
        <v>0</v>
      </c>
      <c r="M19" s="25">
        <v>0</v>
      </c>
      <c r="N19" s="26">
        <f t="shared" si="0"/>
        <v>18400000</v>
      </c>
      <c r="O19" s="27"/>
      <c r="P19" s="27"/>
      <c r="Q19" s="27"/>
      <c r="R19" s="26">
        <f t="shared" si="1"/>
        <v>18400000</v>
      </c>
      <c r="S19" s="25">
        <v>1542379.01</v>
      </c>
      <c r="T19" s="28">
        <f t="shared" si="2"/>
        <v>8.3824946195652172E-2</v>
      </c>
      <c r="U19" s="29">
        <v>1542379.01</v>
      </c>
      <c r="V19" s="28">
        <f t="shared" si="3"/>
        <v>8.3824946195652172E-2</v>
      </c>
      <c r="W19" s="25">
        <v>1542379.01</v>
      </c>
      <c r="X19" s="28">
        <f t="shared" si="4"/>
        <v>8.3824946195652172E-2</v>
      </c>
      <c r="Y19" s="5"/>
      <c r="Z19" s="5"/>
      <c r="AA19" s="5"/>
    </row>
    <row r="20" spans="1:27" ht="63" customHeight="1">
      <c r="A20" s="22" t="s">
        <v>48</v>
      </c>
      <c r="B20" s="23" t="s">
        <v>49</v>
      </c>
      <c r="C20" s="23" t="s">
        <v>50</v>
      </c>
      <c r="D20" s="23" t="s">
        <v>67</v>
      </c>
      <c r="E20" s="23" t="s">
        <v>65</v>
      </c>
      <c r="F20" s="23" t="s">
        <v>68</v>
      </c>
      <c r="G20" s="23" t="s">
        <v>54</v>
      </c>
      <c r="H20" s="23" t="s">
        <v>55</v>
      </c>
      <c r="I20" s="23" t="s">
        <v>56</v>
      </c>
      <c r="J20" s="31">
        <v>1</v>
      </c>
      <c r="K20" s="25">
        <v>105706108</v>
      </c>
      <c r="L20" s="25">
        <v>1757068.65</v>
      </c>
      <c r="M20" s="25">
        <v>1757068.65</v>
      </c>
      <c r="N20" s="26">
        <f t="shared" si="0"/>
        <v>105706108</v>
      </c>
      <c r="O20" s="27"/>
      <c r="P20" s="27"/>
      <c r="Q20" s="27"/>
      <c r="R20" s="26">
        <f t="shared" si="1"/>
        <v>105706108</v>
      </c>
      <c r="S20" s="25">
        <f>7283870.65</f>
        <v>7283870.6500000004</v>
      </c>
      <c r="T20" s="28">
        <f t="shared" si="2"/>
        <v>6.8906809528925236E-2</v>
      </c>
      <c r="U20" s="32">
        <f>7283870.65</f>
        <v>7283870.6500000004</v>
      </c>
      <c r="V20" s="28">
        <f t="shared" si="3"/>
        <v>6.8906809528925236E-2</v>
      </c>
      <c r="W20" s="25">
        <f>7263870.65</f>
        <v>7263870.6500000004</v>
      </c>
      <c r="X20" s="28">
        <f t="shared" si="4"/>
        <v>6.8717605703541754E-2</v>
      </c>
      <c r="Y20" s="5"/>
      <c r="Z20" s="5"/>
      <c r="AA20" s="5"/>
    </row>
    <row r="21" spans="1:27" ht="63" customHeight="1">
      <c r="A21" s="22" t="s">
        <v>48</v>
      </c>
      <c r="B21" s="23" t="s">
        <v>49</v>
      </c>
      <c r="C21" s="23" t="s">
        <v>50</v>
      </c>
      <c r="D21" s="23" t="s">
        <v>69</v>
      </c>
      <c r="E21" s="23" t="s">
        <v>65</v>
      </c>
      <c r="F21" s="23" t="s">
        <v>70</v>
      </c>
      <c r="G21" s="23" t="s">
        <v>54</v>
      </c>
      <c r="H21" s="23" t="s">
        <v>55</v>
      </c>
      <c r="I21" s="23" t="s">
        <v>56</v>
      </c>
      <c r="J21" s="31">
        <v>1</v>
      </c>
      <c r="K21" s="25">
        <v>116644198</v>
      </c>
      <c r="L21" s="25">
        <v>4977.8999999999996</v>
      </c>
      <c r="M21" s="25">
        <v>4977.8999999999996</v>
      </c>
      <c r="N21" s="26">
        <f t="shared" si="0"/>
        <v>116644198</v>
      </c>
      <c r="O21" s="27"/>
      <c r="P21" s="27"/>
      <c r="Q21" s="27"/>
      <c r="R21" s="26">
        <f t="shared" si="1"/>
        <v>116644198</v>
      </c>
      <c r="S21" s="25">
        <v>8749422.8200000003</v>
      </c>
      <c r="T21" s="28">
        <f t="shared" si="2"/>
        <v>7.5009498715058257E-2</v>
      </c>
      <c r="U21" s="32">
        <v>8749422.8200000003</v>
      </c>
      <c r="V21" s="28">
        <f t="shared" si="3"/>
        <v>7.5009498715058257E-2</v>
      </c>
      <c r="W21" s="25">
        <v>8749422.8200000003</v>
      </c>
      <c r="X21" s="28">
        <f t="shared" si="4"/>
        <v>7.5009498715058257E-2</v>
      </c>
      <c r="Y21" s="5"/>
      <c r="Z21" s="5"/>
      <c r="AA21" s="5"/>
    </row>
    <row r="22" spans="1:27" ht="63" customHeight="1">
      <c r="A22" s="22" t="s">
        <v>48</v>
      </c>
      <c r="B22" s="23" t="s">
        <v>49</v>
      </c>
      <c r="C22" s="23" t="s">
        <v>50</v>
      </c>
      <c r="D22" s="23" t="s">
        <v>71</v>
      </c>
      <c r="E22" s="23" t="s">
        <v>65</v>
      </c>
      <c r="F22" s="23" t="s">
        <v>72</v>
      </c>
      <c r="G22" s="23" t="s">
        <v>54</v>
      </c>
      <c r="H22" s="23" t="s">
        <v>55</v>
      </c>
      <c r="I22" s="23" t="s">
        <v>56</v>
      </c>
      <c r="J22" s="24">
        <v>3</v>
      </c>
      <c r="K22" s="25">
        <v>19300000</v>
      </c>
      <c r="L22" s="25">
        <v>0</v>
      </c>
      <c r="M22" s="25">
        <v>0</v>
      </c>
      <c r="N22" s="26">
        <f t="shared" si="0"/>
        <v>19300000</v>
      </c>
      <c r="O22" s="27"/>
      <c r="P22" s="27"/>
      <c r="Q22" s="27"/>
      <c r="R22" s="26">
        <f t="shared" si="1"/>
        <v>19300000</v>
      </c>
      <c r="S22" s="25">
        <v>1680500.43</v>
      </c>
      <c r="T22" s="28">
        <f t="shared" si="2"/>
        <v>8.7072561139896365E-2</v>
      </c>
      <c r="U22" s="29">
        <v>1680500.43</v>
      </c>
      <c r="V22" s="28">
        <f t="shared" si="3"/>
        <v>8.7072561139896365E-2</v>
      </c>
      <c r="W22" s="25">
        <v>1680500.43</v>
      </c>
      <c r="X22" s="28">
        <f t="shared" si="4"/>
        <v>8.7072561139896365E-2</v>
      </c>
      <c r="Y22" s="5"/>
      <c r="Z22" s="5"/>
      <c r="AA22" s="5"/>
    </row>
    <row r="23" spans="1:27" ht="63" customHeight="1">
      <c r="A23" s="22" t="s">
        <v>48</v>
      </c>
      <c r="B23" s="23" t="s">
        <v>49</v>
      </c>
      <c r="C23" s="23" t="s">
        <v>73</v>
      </c>
      <c r="D23" s="23" t="s">
        <v>74</v>
      </c>
      <c r="E23" s="23" t="s">
        <v>65</v>
      </c>
      <c r="F23" s="23" t="s">
        <v>75</v>
      </c>
      <c r="G23" s="23" t="s">
        <v>54</v>
      </c>
      <c r="H23" s="23" t="s">
        <v>55</v>
      </c>
      <c r="I23" s="23" t="s">
        <v>63</v>
      </c>
      <c r="J23" s="24">
        <v>3</v>
      </c>
      <c r="K23" s="25">
        <v>1500000</v>
      </c>
      <c r="L23" s="25">
        <v>0</v>
      </c>
      <c r="M23" s="25">
        <v>0</v>
      </c>
      <c r="N23" s="26">
        <f t="shared" si="0"/>
        <v>1500000</v>
      </c>
      <c r="O23" s="27"/>
      <c r="P23" s="27"/>
      <c r="Q23" s="27"/>
      <c r="R23" s="26">
        <f t="shared" si="1"/>
        <v>1500000</v>
      </c>
      <c r="S23" s="25">
        <v>158635.06</v>
      </c>
      <c r="T23" s="28">
        <f t="shared" si="2"/>
        <v>0.10575670666666666</v>
      </c>
      <c r="U23" s="29">
        <v>158635.06</v>
      </c>
      <c r="V23" s="28">
        <f t="shared" si="3"/>
        <v>0.10575670666666666</v>
      </c>
      <c r="W23" s="25">
        <v>158635.06</v>
      </c>
      <c r="X23" s="28">
        <f t="shared" si="4"/>
        <v>0.10575670666666666</v>
      </c>
      <c r="Y23" s="5"/>
      <c r="Z23" s="5"/>
      <c r="AA23" s="5"/>
    </row>
    <row r="24" spans="1:27" ht="63" customHeight="1">
      <c r="A24" s="22" t="s">
        <v>48</v>
      </c>
      <c r="B24" s="23" t="s">
        <v>49</v>
      </c>
      <c r="C24" s="23" t="s">
        <v>76</v>
      </c>
      <c r="D24" s="23" t="s">
        <v>77</v>
      </c>
      <c r="E24" s="33" t="s">
        <v>65</v>
      </c>
      <c r="F24" s="23" t="s">
        <v>78</v>
      </c>
      <c r="G24" s="23" t="s">
        <v>54</v>
      </c>
      <c r="H24" s="23" t="s">
        <v>55</v>
      </c>
      <c r="I24" s="23" t="s">
        <v>56</v>
      </c>
      <c r="J24" s="31">
        <v>1</v>
      </c>
      <c r="K24" s="34">
        <v>400000</v>
      </c>
      <c r="L24" s="25">
        <v>0</v>
      </c>
      <c r="M24" s="25">
        <v>0</v>
      </c>
      <c r="N24" s="26">
        <f t="shared" si="0"/>
        <v>400000</v>
      </c>
      <c r="O24" s="26"/>
      <c r="P24" s="26"/>
      <c r="Q24" s="26"/>
      <c r="R24" s="26">
        <f t="shared" si="1"/>
        <v>400000</v>
      </c>
      <c r="S24" s="35">
        <v>5880</v>
      </c>
      <c r="T24" s="28">
        <f t="shared" si="2"/>
        <v>1.47E-2</v>
      </c>
      <c r="U24" s="32">
        <v>5880</v>
      </c>
      <c r="V24" s="28">
        <f t="shared" si="3"/>
        <v>1.47E-2</v>
      </c>
      <c r="W24" s="25">
        <v>5880</v>
      </c>
      <c r="X24" s="28">
        <f t="shared" si="4"/>
        <v>1.47E-2</v>
      </c>
      <c r="Y24" s="5"/>
      <c r="Z24" s="5"/>
      <c r="AA24" s="5"/>
    </row>
    <row r="25" spans="1:27" ht="63" customHeight="1">
      <c r="A25" s="22" t="s">
        <v>48</v>
      </c>
      <c r="B25" s="23" t="s">
        <v>49</v>
      </c>
      <c r="C25" s="23" t="s">
        <v>79</v>
      </c>
      <c r="D25" s="23" t="s">
        <v>80</v>
      </c>
      <c r="E25" s="23" t="s">
        <v>65</v>
      </c>
      <c r="F25" s="23" t="s">
        <v>81</v>
      </c>
      <c r="G25" s="23" t="s">
        <v>54</v>
      </c>
      <c r="H25" s="23" t="s">
        <v>55</v>
      </c>
      <c r="I25" s="23" t="s">
        <v>63</v>
      </c>
      <c r="J25" s="31">
        <v>1</v>
      </c>
      <c r="K25" s="25">
        <f>122077300-K26</f>
        <v>116550000</v>
      </c>
      <c r="L25" s="25">
        <v>15000000</v>
      </c>
      <c r="M25" s="25">
        <v>15000000</v>
      </c>
      <c r="N25" s="26">
        <f t="shared" si="0"/>
        <v>116550000</v>
      </c>
      <c r="O25" s="26"/>
      <c r="P25" s="26"/>
      <c r="Q25" s="26"/>
      <c r="R25" s="26">
        <f t="shared" si="1"/>
        <v>116550000</v>
      </c>
      <c r="S25" s="25">
        <f>5153219.47-S26</f>
        <v>4698452.88</v>
      </c>
      <c r="T25" s="28">
        <f t="shared" si="2"/>
        <v>4.0312766023166025E-2</v>
      </c>
      <c r="U25" s="32">
        <f>5114219.47-U26</f>
        <v>4659452.88</v>
      </c>
      <c r="V25" s="28">
        <f t="shared" si="3"/>
        <v>3.9978145688545685E-2</v>
      </c>
      <c r="W25" s="25">
        <f>5114219.47-W26</f>
        <v>4659452.88</v>
      </c>
      <c r="X25" s="28">
        <f t="shared" si="4"/>
        <v>3.9978145688545685E-2</v>
      </c>
      <c r="Y25" s="5"/>
      <c r="Z25" s="5"/>
      <c r="AA25" s="5"/>
    </row>
    <row r="26" spans="1:27" ht="63" customHeight="1">
      <c r="A26" s="22" t="s">
        <v>48</v>
      </c>
      <c r="B26" s="23" t="s">
        <v>49</v>
      </c>
      <c r="C26" s="23" t="s">
        <v>79</v>
      </c>
      <c r="D26" s="23" t="s">
        <v>80</v>
      </c>
      <c r="E26" s="23" t="s">
        <v>65</v>
      </c>
      <c r="F26" s="23" t="s">
        <v>81</v>
      </c>
      <c r="G26" s="23" t="s">
        <v>54</v>
      </c>
      <c r="H26" s="23" t="s">
        <v>55</v>
      </c>
      <c r="I26" s="23" t="s">
        <v>63</v>
      </c>
      <c r="J26" s="24">
        <v>3</v>
      </c>
      <c r="K26" s="25">
        <f>5527300</f>
        <v>5527300</v>
      </c>
      <c r="L26" s="25">
        <v>0</v>
      </c>
      <c r="M26" s="25">
        <v>0</v>
      </c>
      <c r="N26" s="26">
        <f t="shared" si="0"/>
        <v>5527300</v>
      </c>
      <c r="O26" s="26"/>
      <c r="P26" s="26"/>
      <c r="Q26" s="26"/>
      <c r="R26" s="26">
        <f t="shared" si="1"/>
        <v>5527300</v>
      </c>
      <c r="S26" s="25">
        <f>454766.59</f>
        <v>454766.59</v>
      </c>
      <c r="T26" s="28">
        <f t="shared" si="2"/>
        <v>8.2276444195176671E-2</v>
      </c>
      <c r="U26" s="29">
        <v>454766.59</v>
      </c>
      <c r="V26" s="28">
        <f t="shared" si="3"/>
        <v>8.2276444195176671E-2</v>
      </c>
      <c r="W26" s="25">
        <v>454766.59</v>
      </c>
      <c r="X26" s="28">
        <f t="shared" si="4"/>
        <v>8.2276444195176671E-2</v>
      </c>
      <c r="Y26" s="5"/>
      <c r="Z26" s="5"/>
      <c r="AA26" s="5"/>
    </row>
    <row r="27" spans="1:27" ht="63" hidden="1" customHeight="1">
      <c r="A27" s="22" t="s">
        <v>48</v>
      </c>
      <c r="B27" s="23" t="s">
        <v>49</v>
      </c>
      <c r="C27" s="23" t="s">
        <v>79</v>
      </c>
      <c r="D27" s="23" t="s">
        <v>80</v>
      </c>
      <c r="E27" s="23" t="s">
        <v>65</v>
      </c>
      <c r="F27" s="23" t="s">
        <v>81</v>
      </c>
      <c r="G27" s="23" t="s">
        <v>54</v>
      </c>
      <c r="H27" s="23" t="s">
        <v>82</v>
      </c>
      <c r="I27" s="23" t="s">
        <v>63</v>
      </c>
      <c r="J27" s="31">
        <v>1</v>
      </c>
      <c r="K27" s="25"/>
      <c r="L27" s="25"/>
      <c r="M27" s="25"/>
      <c r="N27" s="26">
        <f t="shared" si="0"/>
        <v>0</v>
      </c>
      <c r="O27" s="26"/>
      <c r="P27" s="26"/>
      <c r="Q27" s="26"/>
      <c r="R27" s="26">
        <f t="shared" si="1"/>
        <v>0</v>
      </c>
      <c r="S27" s="25"/>
      <c r="T27" s="28">
        <f t="shared" si="2"/>
        <v>0</v>
      </c>
      <c r="U27" s="32"/>
      <c r="V27" s="28">
        <f t="shared" si="3"/>
        <v>0</v>
      </c>
      <c r="W27" s="25"/>
      <c r="X27" s="28">
        <f t="shared" si="4"/>
        <v>0</v>
      </c>
      <c r="Y27" s="5"/>
      <c r="Z27" s="5"/>
      <c r="AA27" s="5"/>
    </row>
    <row r="28" spans="1:27" ht="63" customHeight="1">
      <c r="A28" s="22" t="s">
        <v>48</v>
      </c>
      <c r="B28" s="23" t="s">
        <v>49</v>
      </c>
      <c r="C28" s="23" t="s">
        <v>83</v>
      </c>
      <c r="D28" s="23" t="s">
        <v>84</v>
      </c>
      <c r="E28" s="23" t="s">
        <v>65</v>
      </c>
      <c r="F28" s="23" t="s">
        <v>85</v>
      </c>
      <c r="G28" s="23" t="s">
        <v>54</v>
      </c>
      <c r="H28" s="23" t="s">
        <v>55</v>
      </c>
      <c r="I28" s="23" t="s">
        <v>63</v>
      </c>
      <c r="J28" s="31">
        <v>1</v>
      </c>
      <c r="K28" s="25">
        <v>1444384</v>
      </c>
      <c r="L28" s="25">
        <v>0</v>
      </c>
      <c r="M28" s="25">
        <v>0</v>
      </c>
      <c r="N28" s="26">
        <f t="shared" si="0"/>
        <v>1444384</v>
      </c>
      <c r="O28" s="26"/>
      <c r="P28" s="26"/>
      <c r="Q28" s="26"/>
      <c r="R28" s="26">
        <f t="shared" si="1"/>
        <v>1444384</v>
      </c>
      <c r="S28" s="25">
        <v>2181.91</v>
      </c>
      <c r="T28" s="28">
        <f t="shared" si="2"/>
        <v>1.5106162904047675E-3</v>
      </c>
      <c r="U28" s="32">
        <v>2181.91</v>
      </c>
      <c r="V28" s="28">
        <f t="shared" si="3"/>
        <v>1.5106162904047675E-3</v>
      </c>
      <c r="W28" s="25">
        <v>2181.91</v>
      </c>
      <c r="X28" s="28">
        <f t="shared" si="4"/>
        <v>1.5106162904047675E-3</v>
      </c>
      <c r="Y28" s="5"/>
      <c r="Z28" s="5"/>
      <c r="AA28" s="5"/>
    </row>
    <row r="29" spans="1:27" ht="63" hidden="1" customHeight="1">
      <c r="A29" s="22" t="s">
        <v>48</v>
      </c>
      <c r="B29" s="23" t="s">
        <v>49</v>
      </c>
      <c r="C29" s="23" t="s">
        <v>83</v>
      </c>
      <c r="D29" s="23" t="s">
        <v>84</v>
      </c>
      <c r="E29" s="23" t="s">
        <v>65</v>
      </c>
      <c r="F29" s="23" t="s">
        <v>85</v>
      </c>
      <c r="G29" s="23" t="s">
        <v>54</v>
      </c>
      <c r="H29" s="23" t="s">
        <v>82</v>
      </c>
      <c r="I29" s="23" t="s">
        <v>63</v>
      </c>
      <c r="J29" s="31">
        <v>1</v>
      </c>
      <c r="K29" s="25"/>
      <c r="L29" s="25"/>
      <c r="M29" s="25"/>
      <c r="N29" s="26">
        <f t="shared" si="0"/>
        <v>0</v>
      </c>
      <c r="O29" s="26"/>
      <c r="P29" s="26"/>
      <c r="Q29" s="26"/>
      <c r="R29" s="26">
        <f t="shared" si="1"/>
        <v>0</v>
      </c>
      <c r="S29" s="25"/>
      <c r="T29" s="28">
        <f t="shared" si="2"/>
        <v>0</v>
      </c>
      <c r="U29" s="32"/>
      <c r="V29" s="28">
        <f t="shared" si="3"/>
        <v>0</v>
      </c>
      <c r="W29" s="25"/>
      <c r="X29" s="28">
        <f t="shared" si="4"/>
        <v>0</v>
      </c>
      <c r="Y29" s="5"/>
      <c r="Z29" s="5"/>
      <c r="AA29" s="5"/>
    </row>
    <row r="30" spans="1:27" ht="16.5" customHeight="1">
      <c r="A30" s="141" t="s">
        <v>86</v>
      </c>
      <c r="B30" s="142"/>
      <c r="C30" s="142"/>
      <c r="D30" s="142"/>
      <c r="E30" s="142"/>
      <c r="F30" s="142"/>
      <c r="G30" s="142"/>
      <c r="H30" s="142"/>
      <c r="I30" s="142"/>
      <c r="J30" s="137"/>
      <c r="K30" s="39">
        <f t="shared" ref="K30:N30" si="5">SUM(K15:K29)</f>
        <v>869269000</v>
      </c>
      <c r="L30" s="39">
        <f t="shared" si="5"/>
        <v>20346257.030000001</v>
      </c>
      <c r="M30" s="39">
        <f t="shared" si="5"/>
        <v>20346257.030000001</v>
      </c>
      <c r="N30" s="39">
        <f t="shared" si="5"/>
        <v>869269000</v>
      </c>
      <c r="O30" s="39">
        <f t="shared" ref="O30:P30" si="6">SUM(O15:O28)</f>
        <v>0</v>
      </c>
      <c r="P30" s="39">
        <f t="shared" si="6"/>
        <v>0</v>
      </c>
      <c r="Q30" s="39">
        <f t="shared" ref="Q30:S30" si="7">SUM(Q15:Q29)</f>
        <v>0</v>
      </c>
      <c r="R30" s="39">
        <f t="shared" si="7"/>
        <v>869269000</v>
      </c>
      <c r="S30" s="39">
        <f t="shared" si="7"/>
        <v>60480162.460000001</v>
      </c>
      <c r="T30" s="40">
        <f t="shared" si="2"/>
        <v>6.9575887855197874E-2</v>
      </c>
      <c r="U30" s="39">
        <f>SUM(U15:U29)</f>
        <v>60441162.460000001</v>
      </c>
      <c r="V30" s="40">
        <f t="shared" si="3"/>
        <v>6.9531022571839102E-2</v>
      </c>
      <c r="W30" s="39">
        <f>SUM(W15:W29)</f>
        <v>60402318.43</v>
      </c>
      <c r="X30" s="40">
        <f t="shared" si="4"/>
        <v>6.9486336715102001E-2</v>
      </c>
      <c r="Y30" s="5"/>
      <c r="Z30" s="5"/>
      <c r="AA30" s="5"/>
    </row>
    <row r="31" spans="1:27" ht="15" customHeight="1">
      <c r="A31" s="41"/>
      <c r="B31" s="41"/>
      <c r="C31" s="41"/>
      <c r="D31" s="41"/>
      <c r="E31" s="41"/>
      <c r="F31" s="41"/>
      <c r="G31" s="41"/>
      <c r="H31" s="41"/>
      <c r="I31" s="41"/>
      <c r="J31" s="41"/>
      <c r="K31" s="39"/>
      <c r="L31" s="39"/>
      <c r="M31" s="39"/>
      <c r="N31" s="39"/>
      <c r="O31" s="39"/>
      <c r="P31" s="39"/>
      <c r="Q31" s="39"/>
      <c r="R31" s="39"/>
      <c r="S31" s="39"/>
      <c r="T31" s="40"/>
      <c r="U31" s="39"/>
      <c r="V31" s="40"/>
      <c r="W31" s="39"/>
      <c r="X31" s="40"/>
      <c r="Y31" s="5"/>
      <c r="Z31" s="5"/>
      <c r="AA31" s="5"/>
    </row>
    <row r="32" spans="1:27" ht="15" customHeight="1">
      <c r="A32" s="42"/>
      <c r="B32" s="42"/>
      <c r="C32" s="42"/>
      <c r="D32" s="42"/>
      <c r="E32" s="42"/>
      <c r="F32" s="42"/>
      <c r="G32" s="42"/>
      <c r="H32" s="42"/>
      <c r="I32" s="42"/>
      <c r="J32" s="42"/>
      <c r="K32" s="43"/>
      <c r="L32" s="43"/>
      <c r="M32" s="43"/>
      <c r="N32" s="43"/>
      <c r="O32" s="43"/>
      <c r="P32" s="43"/>
      <c r="Q32" s="43"/>
      <c r="R32" s="43"/>
      <c r="S32" s="43"/>
      <c r="T32" s="38"/>
      <c r="U32" s="43"/>
      <c r="V32" s="38"/>
      <c r="W32" s="43"/>
      <c r="X32" s="38"/>
      <c r="Y32" s="5"/>
      <c r="Z32" s="5"/>
      <c r="AA32" s="5"/>
    </row>
    <row r="33" spans="1:27" ht="54" customHeight="1">
      <c r="A33" s="22" t="s">
        <v>87</v>
      </c>
      <c r="B33" s="23" t="s">
        <v>88</v>
      </c>
      <c r="C33" s="23" t="s">
        <v>50</v>
      </c>
      <c r="D33" s="23" t="s">
        <v>89</v>
      </c>
      <c r="E33" s="33" t="s">
        <v>90</v>
      </c>
      <c r="F33" s="23" t="s">
        <v>91</v>
      </c>
      <c r="G33" s="23" t="s">
        <v>54</v>
      </c>
      <c r="H33" s="23" t="s">
        <v>92</v>
      </c>
      <c r="I33" s="23" t="s">
        <v>56</v>
      </c>
      <c r="J33" s="44">
        <v>4</v>
      </c>
      <c r="K33" s="45">
        <v>2000000</v>
      </c>
      <c r="L33" s="25">
        <v>0</v>
      </c>
      <c r="M33" s="25">
        <v>0</v>
      </c>
      <c r="N33" s="26">
        <f t="shared" ref="N33:N71" si="8">K33+L33-M33</f>
        <v>2000000</v>
      </c>
      <c r="O33" s="26"/>
      <c r="P33" s="26"/>
      <c r="Q33" s="26"/>
      <c r="R33" s="26">
        <f t="shared" ref="R33:R71" si="9">N33-O33+P33+Q33</f>
        <v>2000000</v>
      </c>
      <c r="S33" s="45">
        <v>1883187.59</v>
      </c>
      <c r="T33" s="28">
        <f t="shared" ref="T33:T73" si="10">IF(R33&gt;0,S33/R33,0)</f>
        <v>0.94159379500000007</v>
      </c>
      <c r="U33" s="46">
        <v>0</v>
      </c>
      <c r="V33" s="28">
        <f t="shared" ref="V33:V73" si="11">IF(R33&gt;0,U33/R33,0)</f>
        <v>0</v>
      </c>
      <c r="W33" s="25">
        <v>0</v>
      </c>
      <c r="X33" s="28">
        <f t="shared" ref="X33:X73" si="12">IF(R33&gt;0,W33/R33,0)</f>
        <v>0</v>
      </c>
      <c r="Y33" s="5"/>
      <c r="Z33" s="5"/>
      <c r="AA33" s="5"/>
    </row>
    <row r="34" spans="1:27" ht="54" hidden="1" customHeight="1">
      <c r="A34" s="22" t="s">
        <v>87</v>
      </c>
      <c r="B34" s="23" t="s">
        <v>88</v>
      </c>
      <c r="C34" s="23" t="s">
        <v>50</v>
      </c>
      <c r="D34" s="23" t="s">
        <v>93</v>
      </c>
      <c r="E34" s="33" t="s">
        <v>90</v>
      </c>
      <c r="F34" s="23" t="s">
        <v>91</v>
      </c>
      <c r="G34" s="23" t="s">
        <v>54</v>
      </c>
      <c r="H34" s="23" t="s">
        <v>94</v>
      </c>
      <c r="I34" s="23" t="s">
        <v>56</v>
      </c>
      <c r="J34" s="24">
        <v>3</v>
      </c>
      <c r="K34" s="45"/>
      <c r="L34" s="25"/>
      <c r="M34" s="25"/>
      <c r="N34" s="26">
        <f t="shared" si="8"/>
        <v>0</v>
      </c>
      <c r="O34" s="26"/>
      <c r="P34" s="26"/>
      <c r="Q34" s="26"/>
      <c r="R34" s="26">
        <f t="shared" si="9"/>
        <v>0</v>
      </c>
      <c r="S34" s="45"/>
      <c r="T34" s="28">
        <f t="shared" si="10"/>
        <v>0</v>
      </c>
      <c r="U34" s="29"/>
      <c r="V34" s="28">
        <f t="shared" si="11"/>
        <v>0</v>
      </c>
      <c r="W34" s="25"/>
      <c r="X34" s="28">
        <f t="shared" si="12"/>
        <v>0</v>
      </c>
      <c r="Y34" s="5"/>
      <c r="Z34" s="5"/>
      <c r="AA34" s="5"/>
    </row>
    <row r="35" spans="1:27" ht="54" hidden="1" customHeight="1">
      <c r="A35" s="22" t="s">
        <v>87</v>
      </c>
      <c r="B35" s="23" t="s">
        <v>88</v>
      </c>
      <c r="C35" s="23" t="s">
        <v>50</v>
      </c>
      <c r="D35" s="23" t="s">
        <v>95</v>
      </c>
      <c r="E35" s="33" t="s">
        <v>90</v>
      </c>
      <c r="F35" s="23" t="s">
        <v>91</v>
      </c>
      <c r="G35" s="23" t="s">
        <v>54</v>
      </c>
      <c r="H35" s="23" t="s">
        <v>94</v>
      </c>
      <c r="I35" s="23" t="s">
        <v>56</v>
      </c>
      <c r="J35" s="44">
        <v>4</v>
      </c>
      <c r="K35" s="45"/>
      <c r="L35" s="25"/>
      <c r="M35" s="25"/>
      <c r="N35" s="26">
        <f t="shared" si="8"/>
        <v>0</v>
      </c>
      <c r="O35" s="26"/>
      <c r="P35" s="26"/>
      <c r="Q35" s="26"/>
      <c r="R35" s="26">
        <f t="shared" si="9"/>
        <v>0</v>
      </c>
      <c r="S35" s="45"/>
      <c r="T35" s="28">
        <f t="shared" si="10"/>
        <v>0</v>
      </c>
      <c r="U35" s="46"/>
      <c r="V35" s="28">
        <f t="shared" si="11"/>
        <v>0</v>
      </c>
      <c r="W35" s="25"/>
      <c r="X35" s="28">
        <f t="shared" si="12"/>
        <v>0</v>
      </c>
      <c r="Y35" s="5"/>
      <c r="Z35" s="5"/>
      <c r="AA35" s="5"/>
    </row>
    <row r="36" spans="1:27" ht="54" hidden="1" customHeight="1">
      <c r="A36" s="22" t="s">
        <v>87</v>
      </c>
      <c r="B36" s="23" t="s">
        <v>88</v>
      </c>
      <c r="C36" s="23" t="s">
        <v>50</v>
      </c>
      <c r="D36" s="23" t="s">
        <v>96</v>
      </c>
      <c r="E36" s="33" t="s">
        <v>90</v>
      </c>
      <c r="F36" s="23" t="s">
        <v>91</v>
      </c>
      <c r="G36" s="23" t="s">
        <v>54</v>
      </c>
      <c r="H36" s="23" t="s">
        <v>92</v>
      </c>
      <c r="I36" s="23" t="s">
        <v>56</v>
      </c>
      <c r="J36" s="24">
        <v>3</v>
      </c>
      <c r="K36" s="45"/>
      <c r="L36" s="25"/>
      <c r="M36" s="25"/>
      <c r="N36" s="26">
        <f t="shared" si="8"/>
        <v>0</v>
      </c>
      <c r="O36" s="26"/>
      <c r="P36" s="26"/>
      <c r="Q36" s="26"/>
      <c r="R36" s="26">
        <f t="shared" si="9"/>
        <v>0</v>
      </c>
      <c r="S36" s="45"/>
      <c r="T36" s="28">
        <f t="shared" si="10"/>
        <v>0</v>
      </c>
      <c r="U36" s="29"/>
      <c r="V36" s="28">
        <f t="shared" si="11"/>
        <v>0</v>
      </c>
      <c r="W36" s="25"/>
      <c r="X36" s="28">
        <f t="shared" si="12"/>
        <v>0</v>
      </c>
      <c r="Y36" s="5"/>
      <c r="Z36" s="5"/>
      <c r="AA36" s="5"/>
    </row>
    <row r="37" spans="1:27" ht="54" hidden="1" customHeight="1">
      <c r="A37" s="47" t="s">
        <v>87</v>
      </c>
      <c r="B37" s="23" t="s">
        <v>88</v>
      </c>
      <c r="C37" s="48" t="s">
        <v>50</v>
      </c>
      <c r="D37" s="48" t="s">
        <v>96</v>
      </c>
      <c r="E37" s="33" t="s">
        <v>90</v>
      </c>
      <c r="F37" s="23" t="s">
        <v>91</v>
      </c>
      <c r="G37" s="48" t="s">
        <v>54</v>
      </c>
      <c r="H37" s="48" t="s">
        <v>94</v>
      </c>
      <c r="I37" s="23" t="s">
        <v>56</v>
      </c>
      <c r="J37" s="49">
        <v>4</v>
      </c>
      <c r="K37" s="45"/>
      <c r="L37" s="50"/>
      <c r="M37" s="50"/>
      <c r="N37" s="26">
        <f t="shared" si="8"/>
        <v>0</v>
      </c>
      <c r="O37" s="51"/>
      <c r="P37" s="51"/>
      <c r="Q37" s="51"/>
      <c r="R37" s="26">
        <f t="shared" si="9"/>
        <v>0</v>
      </c>
      <c r="S37" s="52"/>
      <c r="T37" s="28">
        <f t="shared" si="10"/>
        <v>0</v>
      </c>
      <c r="U37" s="53"/>
      <c r="V37" s="28">
        <f t="shared" si="11"/>
        <v>0</v>
      </c>
      <c r="W37" s="50"/>
      <c r="X37" s="28">
        <f t="shared" si="12"/>
        <v>0</v>
      </c>
      <c r="Y37" s="5"/>
      <c r="Z37" s="5"/>
      <c r="AA37" s="5"/>
    </row>
    <row r="38" spans="1:27" ht="54" customHeight="1">
      <c r="A38" s="22" t="s">
        <v>87</v>
      </c>
      <c r="B38" s="23" t="s">
        <v>88</v>
      </c>
      <c r="C38" s="23" t="s">
        <v>50</v>
      </c>
      <c r="D38" s="23" t="s">
        <v>97</v>
      </c>
      <c r="E38" s="33" t="s">
        <v>90</v>
      </c>
      <c r="F38" s="23" t="s">
        <v>91</v>
      </c>
      <c r="G38" s="23" t="s">
        <v>54</v>
      </c>
      <c r="H38" s="23" t="s">
        <v>92</v>
      </c>
      <c r="I38" s="23" t="s">
        <v>56</v>
      </c>
      <c r="J38" s="24">
        <v>3</v>
      </c>
      <c r="K38" s="34">
        <v>0</v>
      </c>
      <c r="L38" s="25">
        <v>861515.9</v>
      </c>
      <c r="M38" s="25">
        <v>0</v>
      </c>
      <c r="N38" s="26">
        <f t="shared" si="8"/>
        <v>861515.9</v>
      </c>
      <c r="O38" s="27"/>
      <c r="P38" s="27"/>
      <c r="Q38" s="27"/>
      <c r="R38" s="26">
        <f t="shared" si="9"/>
        <v>861515.9</v>
      </c>
      <c r="S38" s="37">
        <v>0</v>
      </c>
      <c r="T38" s="28">
        <f t="shared" si="10"/>
        <v>0</v>
      </c>
      <c r="U38" s="29">
        <v>0</v>
      </c>
      <c r="V38" s="28">
        <f t="shared" si="11"/>
        <v>0</v>
      </c>
      <c r="W38" s="25">
        <v>0</v>
      </c>
      <c r="X38" s="28">
        <f t="shared" si="12"/>
        <v>0</v>
      </c>
      <c r="Y38" s="5"/>
      <c r="Z38" s="5"/>
      <c r="AA38" s="5"/>
    </row>
    <row r="39" spans="1:27" ht="54" hidden="1" customHeight="1">
      <c r="A39" s="22" t="s">
        <v>87</v>
      </c>
      <c r="B39" s="23" t="s">
        <v>88</v>
      </c>
      <c r="C39" s="23" t="s">
        <v>50</v>
      </c>
      <c r="D39" s="23" t="s">
        <v>97</v>
      </c>
      <c r="E39" s="33" t="s">
        <v>90</v>
      </c>
      <c r="F39" s="23" t="s">
        <v>91</v>
      </c>
      <c r="G39" s="23" t="s">
        <v>54</v>
      </c>
      <c r="H39" s="23" t="s">
        <v>92</v>
      </c>
      <c r="I39" s="23" t="s">
        <v>56</v>
      </c>
      <c r="J39" s="44">
        <v>4</v>
      </c>
      <c r="K39" s="34">
        <v>0</v>
      </c>
      <c r="L39" s="25">
        <v>0</v>
      </c>
      <c r="M39" s="25">
        <v>0</v>
      </c>
      <c r="N39" s="26">
        <f t="shared" si="8"/>
        <v>0</v>
      </c>
      <c r="O39" s="27"/>
      <c r="P39" s="27"/>
      <c r="Q39" s="27"/>
      <c r="R39" s="26">
        <f t="shared" si="9"/>
        <v>0</v>
      </c>
      <c r="S39" s="37">
        <v>0</v>
      </c>
      <c r="T39" s="28">
        <f t="shared" si="10"/>
        <v>0</v>
      </c>
      <c r="U39" s="46">
        <v>0</v>
      </c>
      <c r="V39" s="28">
        <f t="shared" si="11"/>
        <v>0</v>
      </c>
      <c r="W39" s="25">
        <v>0</v>
      </c>
      <c r="X39" s="28">
        <f t="shared" si="12"/>
        <v>0</v>
      </c>
      <c r="Y39" s="5"/>
      <c r="Z39" s="5"/>
      <c r="AA39" s="5"/>
    </row>
    <row r="40" spans="1:27" ht="54" hidden="1" customHeight="1">
      <c r="A40" s="22" t="s">
        <v>87</v>
      </c>
      <c r="B40" s="23" t="s">
        <v>88</v>
      </c>
      <c r="C40" s="23" t="s">
        <v>50</v>
      </c>
      <c r="D40" s="23" t="s">
        <v>97</v>
      </c>
      <c r="E40" s="33" t="s">
        <v>90</v>
      </c>
      <c r="F40" s="23" t="s">
        <v>91</v>
      </c>
      <c r="G40" s="23" t="s">
        <v>54</v>
      </c>
      <c r="H40" s="23" t="s">
        <v>94</v>
      </c>
      <c r="I40" s="23" t="s">
        <v>56</v>
      </c>
      <c r="J40" s="24">
        <v>3</v>
      </c>
      <c r="K40" s="34"/>
      <c r="L40" s="25"/>
      <c r="M40" s="25"/>
      <c r="N40" s="26">
        <f t="shared" si="8"/>
        <v>0</v>
      </c>
      <c r="O40" s="27"/>
      <c r="P40" s="27"/>
      <c r="Q40" s="27"/>
      <c r="R40" s="26">
        <f t="shared" si="9"/>
        <v>0</v>
      </c>
      <c r="S40" s="37">
        <v>0</v>
      </c>
      <c r="T40" s="28">
        <f t="shared" si="10"/>
        <v>0</v>
      </c>
      <c r="U40" s="29">
        <v>0</v>
      </c>
      <c r="V40" s="28">
        <f t="shared" si="11"/>
        <v>0</v>
      </c>
      <c r="W40" s="25">
        <v>0</v>
      </c>
      <c r="X40" s="28">
        <f t="shared" si="12"/>
        <v>0</v>
      </c>
      <c r="Y40" s="5"/>
      <c r="Z40" s="5"/>
      <c r="AA40" s="5"/>
    </row>
    <row r="41" spans="1:27" ht="54" customHeight="1">
      <c r="A41" s="22" t="s">
        <v>87</v>
      </c>
      <c r="B41" s="23" t="s">
        <v>88</v>
      </c>
      <c r="C41" s="23" t="s">
        <v>50</v>
      </c>
      <c r="D41" s="23" t="s">
        <v>98</v>
      </c>
      <c r="E41" s="33" t="s">
        <v>90</v>
      </c>
      <c r="F41" s="23" t="s">
        <v>99</v>
      </c>
      <c r="G41" s="23" t="s">
        <v>54</v>
      </c>
      <c r="H41" s="23" t="s">
        <v>92</v>
      </c>
      <c r="I41" s="23" t="s">
        <v>56</v>
      </c>
      <c r="J41" s="44">
        <v>4</v>
      </c>
      <c r="K41" s="34">
        <v>3000000</v>
      </c>
      <c r="L41" s="25">
        <v>0</v>
      </c>
      <c r="M41" s="25">
        <v>0</v>
      </c>
      <c r="N41" s="26">
        <f t="shared" si="8"/>
        <v>3000000</v>
      </c>
      <c r="O41" s="27"/>
      <c r="P41" s="27"/>
      <c r="Q41" s="27"/>
      <c r="R41" s="26">
        <f t="shared" si="9"/>
        <v>3000000</v>
      </c>
      <c r="S41" s="37">
        <v>0</v>
      </c>
      <c r="T41" s="28">
        <f t="shared" si="10"/>
        <v>0</v>
      </c>
      <c r="U41" s="46">
        <v>0</v>
      </c>
      <c r="V41" s="28">
        <f t="shared" si="11"/>
        <v>0</v>
      </c>
      <c r="W41" s="35">
        <v>0</v>
      </c>
      <c r="X41" s="28">
        <f t="shared" si="12"/>
        <v>0</v>
      </c>
      <c r="Y41" s="5"/>
      <c r="Z41" s="5"/>
      <c r="AA41" s="5"/>
    </row>
    <row r="42" spans="1:27" ht="54" customHeight="1">
      <c r="A42" s="22" t="s">
        <v>87</v>
      </c>
      <c r="B42" s="23" t="s">
        <v>88</v>
      </c>
      <c r="C42" s="23" t="s">
        <v>50</v>
      </c>
      <c r="D42" s="23" t="s">
        <v>100</v>
      </c>
      <c r="E42" s="33" t="s">
        <v>90</v>
      </c>
      <c r="F42" s="23" t="s">
        <v>101</v>
      </c>
      <c r="G42" s="23" t="s">
        <v>54</v>
      </c>
      <c r="H42" s="23" t="s">
        <v>92</v>
      </c>
      <c r="I42" s="23" t="s">
        <v>56</v>
      </c>
      <c r="J42" s="44">
        <v>4</v>
      </c>
      <c r="K42" s="34">
        <v>50000</v>
      </c>
      <c r="L42" s="25">
        <v>0</v>
      </c>
      <c r="M42" s="25">
        <v>0</v>
      </c>
      <c r="N42" s="26">
        <f t="shared" si="8"/>
        <v>50000</v>
      </c>
      <c r="O42" s="26"/>
      <c r="P42" s="26"/>
      <c r="Q42" s="26"/>
      <c r="R42" s="26">
        <f t="shared" si="9"/>
        <v>50000</v>
      </c>
      <c r="S42" s="34">
        <v>0</v>
      </c>
      <c r="T42" s="28">
        <f t="shared" si="10"/>
        <v>0</v>
      </c>
      <c r="U42" s="46">
        <v>0</v>
      </c>
      <c r="V42" s="28">
        <f t="shared" si="11"/>
        <v>0</v>
      </c>
      <c r="W42" s="25">
        <v>0</v>
      </c>
      <c r="X42" s="28">
        <f t="shared" si="12"/>
        <v>0</v>
      </c>
      <c r="Y42" s="5"/>
      <c r="Z42" s="5"/>
      <c r="AA42" s="5"/>
    </row>
    <row r="43" spans="1:27" ht="54" customHeight="1">
      <c r="A43" s="22" t="s">
        <v>87</v>
      </c>
      <c r="B43" s="23" t="s">
        <v>88</v>
      </c>
      <c r="C43" s="23" t="s">
        <v>50</v>
      </c>
      <c r="D43" s="23" t="s">
        <v>51</v>
      </c>
      <c r="E43" s="33" t="s">
        <v>90</v>
      </c>
      <c r="F43" s="23" t="s">
        <v>102</v>
      </c>
      <c r="G43" s="23" t="s">
        <v>54</v>
      </c>
      <c r="H43" s="23" t="s">
        <v>92</v>
      </c>
      <c r="I43" s="23" t="s">
        <v>56</v>
      </c>
      <c r="J43" s="24">
        <v>3</v>
      </c>
      <c r="K43" s="34">
        <f>44253337-K44</f>
        <v>43753337</v>
      </c>
      <c r="L43" s="25">
        <f>862193.4</f>
        <v>862193.4</v>
      </c>
      <c r="M43" s="25">
        <f>4326709.3</f>
        <v>4326709.3</v>
      </c>
      <c r="N43" s="26">
        <f t="shared" si="8"/>
        <v>40288821.100000001</v>
      </c>
      <c r="O43" s="26"/>
      <c r="P43" s="26"/>
      <c r="Q43" s="26"/>
      <c r="R43" s="26">
        <f t="shared" si="9"/>
        <v>40288821.100000001</v>
      </c>
      <c r="S43" s="34">
        <f>21607477.04-S44</f>
        <v>21597277.039999999</v>
      </c>
      <c r="T43" s="28">
        <f t="shared" si="10"/>
        <v>0.53606128078043958</v>
      </c>
      <c r="U43" s="29">
        <v>573483.19999999995</v>
      </c>
      <c r="V43" s="28">
        <f t="shared" si="11"/>
        <v>1.4234300839346226E-2</v>
      </c>
      <c r="W43" s="25">
        <v>0</v>
      </c>
      <c r="X43" s="28">
        <f t="shared" si="12"/>
        <v>0</v>
      </c>
      <c r="Y43" s="5"/>
      <c r="Z43" s="5"/>
      <c r="AA43" s="5"/>
    </row>
    <row r="44" spans="1:27" ht="54" customHeight="1">
      <c r="A44" s="22" t="s">
        <v>87</v>
      </c>
      <c r="B44" s="23" t="s">
        <v>88</v>
      </c>
      <c r="C44" s="23" t="s">
        <v>50</v>
      </c>
      <c r="D44" s="23" t="s">
        <v>51</v>
      </c>
      <c r="E44" s="33" t="s">
        <v>90</v>
      </c>
      <c r="F44" s="23" t="s">
        <v>102</v>
      </c>
      <c r="G44" s="23" t="s">
        <v>54</v>
      </c>
      <c r="H44" s="23" t="s">
        <v>92</v>
      </c>
      <c r="I44" s="23" t="s">
        <v>56</v>
      </c>
      <c r="J44" s="44">
        <v>4</v>
      </c>
      <c r="K44" s="34">
        <f>500000</f>
        <v>500000</v>
      </c>
      <c r="L44" s="25">
        <v>0</v>
      </c>
      <c r="M44" s="25">
        <v>0</v>
      </c>
      <c r="N44" s="26">
        <f t="shared" si="8"/>
        <v>500000</v>
      </c>
      <c r="O44" s="26"/>
      <c r="P44" s="26"/>
      <c r="Q44" s="26"/>
      <c r="R44" s="26">
        <f t="shared" si="9"/>
        <v>500000</v>
      </c>
      <c r="S44" s="25">
        <v>10200</v>
      </c>
      <c r="T44" s="28">
        <f t="shared" si="10"/>
        <v>2.0400000000000001E-2</v>
      </c>
      <c r="U44" s="46">
        <v>0</v>
      </c>
      <c r="V44" s="28">
        <f t="shared" si="11"/>
        <v>0</v>
      </c>
      <c r="W44" s="25">
        <v>0</v>
      </c>
      <c r="X44" s="28">
        <f t="shared" si="12"/>
        <v>0</v>
      </c>
      <c r="Y44" s="5"/>
      <c r="Z44" s="5"/>
      <c r="AA44" s="5"/>
    </row>
    <row r="45" spans="1:27" ht="54" hidden="1" customHeight="1">
      <c r="A45" s="22" t="s">
        <v>87</v>
      </c>
      <c r="B45" s="33" t="s">
        <v>88</v>
      </c>
      <c r="C45" s="33" t="s">
        <v>50</v>
      </c>
      <c r="D45" s="33" t="s">
        <v>51</v>
      </c>
      <c r="E45" s="33" t="s">
        <v>90</v>
      </c>
      <c r="F45" s="23" t="s">
        <v>102</v>
      </c>
      <c r="G45" s="33" t="s">
        <v>54</v>
      </c>
      <c r="H45" s="33" t="s">
        <v>94</v>
      </c>
      <c r="I45" s="33" t="s">
        <v>56</v>
      </c>
      <c r="J45" s="24">
        <v>3</v>
      </c>
      <c r="K45" s="34">
        <v>0</v>
      </c>
      <c r="L45" s="35">
        <v>0</v>
      </c>
      <c r="M45" s="35">
        <v>0</v>
      </c>
      <c r="N45" s="36">
        <f t="shared" si="8"/>
        <v>0</v>
      </c>
      <c r="O45" s="36"/>
      <c r="P45" s="36"/>
      <c r="Q45" s="36"/>
      <c r="R45" s="36">
        <f t="shared" si="9"/>
        <v>0</v>
      </c>
      <c r="S45" s="35">
        <v>0</v>
      </c>
      <c r="T45" s="38">
        <f t="shared" si="10"/>
        <v>0</v>
      </c>
      <c r="U45" s="54">
        <v>0</v>
      </c>
      <c r="V45" s="38">
        <f t="shared" si="11"/>
        <v>0</v>
      </c>
      <c r="W45" s="35">
        <v>0</v>
      </c>
      <c r="X45" s="38">
        <f t="shared" si="12"/>
        <v>0</v>
      </c>
      <c r="Y45" s="5"/>
      <c r="Z45" s="5"/>
      <c r="AA45" s="5"/>
    </row>
    <row r="46" spans="1:27" ht="54" customHeight="1">
      <c r="A46" s="22" t="s">
        <v>87</v>
      </c>
      <c r="B46" s="33" t="s">
        <v>88</v>
      </c>
      <c r="C46" s="33" t="s">
        <v>50</v>
      </c>
      <c r="D46" s="33" t="s">
        <v>57</v>
      </c>
      <c r="E46" s="33" t="s">
        <v>90</v>
      </c>
      <c r="F46" s="33" t="s">
        <v>103</v>
      </c>
      <c r="G46" s="33" t="s">
        <v>54</v>
      </c>
      <c r="H46" s="33" t="s">
        <v>92</v>
      </c>
      <c r="I46" s="33" t="s">
        <v>56</v>
      </c>
      <c r="J46" s="24">
        <v>3</v>
      </c>
      <c r="K46" s="34">
        <v>65000</v>
      </c>
      <c r="L46" s="35">
        <v>0</v>
      </c>
      <c r="M46" s="35">
        <v>0</v>
      </c>
      <c r="N46" s="36">
        <f t="shared" si="8"/>
        <v>65000</v>
      </c>
      <c r="O46" s="36"/>
      <c r="P46" s="36"/>
      <c r="Q46" s="36"/>
      <c r="R46" s="36">
        <f t="shared" si="9"/>
        <v>65000</v>
      </c>
      <c r="S46" s="35">
        <v>0</v>
      </c>
      <c r="T46" s="38">
        <f t="shared" si="10"/>
        <v>0</v>
      </c>
      <c r="U46" s="54">
        <v>0</v>
      </c>
      <c r="V46" s="38">
        <f t="shared" si="11"/>
        <v>0</v>
      </c>
      <c r="W46" s="35">
        <v>0</v>
      </c>
      <c r="X46" s="38">
        <f t="shared" si="12"/>
        <v>0</v>
      </c>
      <c r="Y46" s="5"/>
      <c r="Z46" s="5"/>
      <c r="AA46" s="5"/>
    </row>
    <row r="47" spans="1:27" ht="54" hidden="1" customHeight="1">
      <c r="A47" s="22" t="s">
        <v>87</v>
      </c>
      <c r="B47" s="33" t="s">
        <v>88</v>
      </c>
      <c r="C47" s="33" t="s">
        <v>50</v>
      </c>
      <c r="D47" s="33" t="s">
        <v>57</v>
      </c>
      <c r="E47" s="33" t="s">
        <v>104</v>
      </c>
      <c r="F47" s="33" t="s">
        <v>103</v>
      </c>
      <c r="G47" s="33" t="s">
        <v>54</v>
      </c>
      <c r="H47" s="33" t="s">
        <v>94</v>
      </c>
      <c r="I47" s="33" t="s">
        <v>63</v>
      </c>
      <c r="J47" s="24">
        <v>3</v>
      </c>
      <c r="K47" s="34">
        <v>0</v>
      </c>
      <c r="L47" s="35">
        <v>0</v>
      </c>
      <c r="M47" s="35">
        <v>0</v>
      </c>
      <c r="N47" s="36">
        <f t="shared" si="8"/>
        <v>0</v>
      </c>
      <c r="O47" s="36"/>
      <c r="P47" s="36"/>
      <c r="Q47" s="36"/>
      <c r="R47" s="36">
        <f t="shared" si="9"/>
        <v>0</v>
      </c>
      <c r="S47" s="37">
        <v>0</v>
      </c>
      <c r="T47" s="38">
        <f t="shared" si="10"/>
        <v>0</v>
      </c>
      <c r="U47" s="54">
        <v>0</v>
      </c>
      <c r="V47" s="38">
        <f t="shared" si="11"/>
        <v>0</v>
      </c>
      <c r="W47" s="35">
        <v>0</v>
      </c>
      <c r="X47" s="38">
        <f t="shared" si="12"/>
        <v>0</v>
      </c>
      <c r="Y47" s="5"/>
      <c r="Z47" s="5"/>
      <c r="AA47" s="5"/>
    </row>
    <row r="48" spans="1:27" ht="54" customHeight="1">
      <c r="A48" s="22" t="s">
        <v>87</v>
      </c>
      <c r="B48" s="33" t="s">
        <v>88</v>
      </c>
      <c r="C48" s="33" t="s">
        <v>50</v>
      </c>
      <c r="D48" s="33" t="s">
        <v>105</v>
      </c>
      <c r="E48" s="33" t="s">
        <v>104</v>
      </c>
      <c r="F48" s="33" t="s">
        <v>106</v>
      </c>
      <c r="G48" s="33" t="s">
        <v>54</v>
      </c>
      <c r="H48" s="33" t="s">
        <v>92</v>
      </c>
      <c r="I48" s="33" t="s">
        <v>63</v>
      </c>
      <c r="J48" s="44">
        <v>4</v>
      </c>
      <c r="K48" s="34">
        <v>800000</v>
      </c>
      <c r="L48" s="35">
        <v>0</v>
      </c>
      <c r="M48" s="35">
        <v>0</v>
      </c>
      <c r="N48" s="36">
        <f t="shared" si="8"/>
        <v>800000</v>
      </c>
      <c r="O48" s="36"/>
      <c r="P48" s="36"/>
      <c r="Q48" s="36"/>
      <c r="R48" s="36">
        <f t="shared" si="9"/>
        <v>800000</v>
      </c>
      <c r="S48" s="37">
        <v>0</v>
      </c>
      <c r="T48" s="38">
        <f t="shared" si="10"/>
        <v>0</v>
      </c>
      <c r="U48" s="46">
        <v>0</v>
      </c>
      <c r="V48" s="38">
        <f t="shared" si="11"/>
        <v>0</v>
      </c>
      <c r="W48" s="35">
        <v>0</v>
      </c>
      <c r="X48" s="38">
        <f t="shared" si="12"/>
        <v>0</v>
      </c>
      <c r="Y48" s="5"/>
      <c r="Z48" s="5"/>
      <c r="AA48" s="5"/>
    </row>
    <row r="49" spans="1:27" ht="54" customHeight="1">
      <c r="A49" s="22" t="s">
        <v>87</v>
      </c>
      <c r="B49" s="33" t="s">
        <v>88</v>
      </c>
      <c r="C49" s="33" t="s">
        <v>50</v>
      </c>
      <c r="D49" s="33" t="s">
        <v>107</v>
      </c>
      <c r="E49" s="33" t="s">
        <v>104</v>
      </c>
      <c r="F49" s="33" t="s">
        <v>108</v>
      </c>
      <c r="G49" s="33" t="s">
        <v>54</v>
      </c>
      <c r="H49" s="33" t="s">
        <v>92</v>
      </c>
      <c r="I49" s="33" t="s">
        <v>63</v>
      </c>
      <c r="J49" s="44">
        <v>4</v>
      </c>
      <c r="K49" s="34">
        <v>50000</v>
      </c>
      <c r="L49" s="35">
        <v>0</v>
      </c>
      <c r="M49" s="35">
        <v>0</v>
      </c>
      <c r="N49" s="36">
        <f t="shared" si="8"/>
        <v>50000</v>
      </c>
      <c r="O49" s="36"/>
      <c r="P49" s="36"/>
      <c r="Q49" s="36"/>
      <c r="R49" s="36">
        <f t="shared" si="9"/>
        <v>50000</v>
      </c>
      <c r="S49" s="37">
        <v>0</v>
      </c>
      <c r="T49" s="38">
        <f t="shared" si="10"/>
        <v>0</v>
      </c>
      <c r="U49" s="46">
        <v>0</v>
      </c>
      <c r="V49" s="38">
        <f t="shared" si="11"/>
        <v>0</v>
      </c>
      <c r="W49" s="35">
        <v>0</v>
      </c>
      <c r="X49" s="38">
        <f t="shared" si="12"/>
        <v>0</v>
      </c>
      <c r="Y49" s="5"/>
      <c r="Z49" s="5"/>
      <c r="AA49" s="5"/>
    </row>
    <row r="50" spans="1:27" ht="54" hidden="1" customHeight="1">
      <c r="A50" s="22" t="s">
        <v>87</v>
      </c>
      <c r="B50" s="33" t="s">
        <v>88</v>
      </c>
      <c r="C50" s="33" t="s">
        <v>50</v>
      </c>
      <c r="D50" s="33" t="s">
        <v>109</v>
      </c>
      <c r="E50" s="33" t="s">
        <v>104</v>
      </c>
      <c r="F50" s="33" t="s">
        <v>110</v>
      </c>
      <c r="G50" s="33" t="s">
        <v>54</v>
      </c>
      <c r="H50" s="33" t="s">
        <v>94</v>
      </c>
      <c r="I50" s="33" t="s">
        <v>63</v>
      </c>
      <c r="J50" s="24">
        <v>3</v>
      </c>
      <c r="K50" s="34"/>
      <c r="L50" s="35"/>
      <c r="M50" s="35"/>
      <c r="N50" s="36">
        <f t="shared" si="8"/>
        <v>0</v>
      </c>
      <c r="O50" s="36"/>
      <c r="P50" s="36"/>
      <c r="Q50" s="36"/>
      <c r="R50" s="36">
        <f t="shared" si="9"/>
        <v>0</v>
      </c>
      <c r="S50" s="37"/>
      <c r="T50" s="38">
        <f t="shared" si="10"/>
        <v>0</v>
      </c>
      <c r="U50" s="29"/>
      <c r="V50" s="38">
        <f t="shared" si="11"/>
        <v>0</v>
      </c>
      <c r="W50" s="35"/>
      <c r="X50" s="38">
        <f t="shared" si="12"/>
        <v>0</v>
      </c>
      <c r="Y50" s="5"/>
      <c r="Z50" s="5"/>
      <c r="AA50" s="5"/>
    </row>
    <row r="51" spans="1:27" ht="54" customHeight="1">
      <c r="A51" s="22" t="s">
        <v>87</v>
      </c>
      <c r="B51" s="33" t="s">
        <v>88</v>
      </c>
      <c r="C51" s="33" t="s">
        <v>50</v>
      </c>
      <c r="D51" s="33" t="s">
        <v>111</v>
      </c>
      <c r="E51" s="33" t="s">
        <v>104</v>
      </c>
      <c r="F51" s="33" t="s">
        <v>110</v>
      </c>
      <c r="G51" s="33" t="s">
        <v>54</v>
      </c>
      <c r="H51" s="33" t="s">
        <v>92</v>
      </c>
      <c r="I51" s="33" t="s">
        <v>63</v>
      </c>
      <c r="J51" s="44">
        <v>4</v>
      </c>
      <c r="K51" s="34">
        <v>200000</v>
      </c>
      <c r="L51" s="35">
        <v>0</v>
      </c>
      <c r="M51" s="35">
        <v>0</v>
      </c>
      <c r="N51" s="36">
        <f t="shared" si="8"/>
        <v>200000</v>
      </c>
      <c r="O51" s="36"/>
      <c r="P51" s="36"/>
      <c r="Q51" s="36"/>
      <c r="R51" s="36">
        <f t="shared" si="9"/>
        <v>200000</v>
      </c>
      <c r="S51" s="37">
        <v>200000</v>
      </c>
      <c r="T51" s="38">
        <f t="shared" si="10"/>
        <v>1</v>
      </c>
      <c r="U51" s="46">
        <v>0</v>
      </c>
      <c r="V51" s="38">
        <f t="shared" si="11"/>
        <v>0</v>
      </c>
      <c r="W51" s="35">
        <v>0</v>
      </c>
      <c r="X51" s="38">
        <f t="shared" si="12"/>
        <v>0</v>
      </c>
      <c r="Y51" s="5"/>
      <c r="Z51" s="5"/>
      <c r="AA51" s="5"/>
    </row>
    <row r="52" spans="1:27" ht="54" customHeight="1">
      <c r="A52" s="22" t="s">
        <v>87</v>
      </c>
      <c r="B52" s="33" t="s">
        <v>88</v>
      </c>
      <c r="C52" s="33" t="s">
        <v>50</v>
      </c>
      <c r="D52" s="33" t="s">
        <v>61</v>
      </c>
      <c r="E52" s="33" t="s">
        <v>104</v>
      </c>
      <c r="F52" s="33" t="s">
        <v>62</v>
      </c>
      <c r="G52" s="33" t="s">
        <v>54</v>
      </c>
      <c r="H52" s="33" t="s">
        <v>112</v>
      </c>
      <c r="I52" s="33" t="s">
        <v>63</v>
      </c>
      <c r="J52" s="24">
        <v>3</v>
      </c>
      <c r="K52" s="34">
        <v>300000</v>
      </c>
      <c r="L52" s="35">
        <v>10000</v>
      </c>
      <c r="M52" s="35">
        <v>10000</v>
      </c>
      <c r="N52" s="36">
        <f t="shared" si="8"/>
        <v>300000</v>
      </c>
      <c r="O52" s="36"/>
      <c r="P52" s="36"/>
      <c r="Q52" s="36"/>
      <c r="R52" s="36">
        <f t="shared" si="9"/>
        <v>300000</v>
      </c>
      <c r="S52" s="37">
        <v>0</v>
      </c>
      <c r="T52" s="38">
        <f t="shared" si="10"/>
        <v>0</v>
      </c>
      <c r="U52" s="54">
        <v>0</v>
      </c>
      <c r="V52" s="38">
        <f t="shared" si="11"/>
        <v>0</v>
      </c>
      <c r="W52" s="35">
        <v>0</v>
      </c>
      <c r="X52" s="38">
        <f t="shared" si="12"/>
        <v>0</v>
      </c>
      <c r="Y52" s="5"/>
      <c r="Z52" s="5"/>
      <c r="AA52" s="5"/>
    </row>
    <row r="53" spans="1:27" ht="54" customHeight="1">
      <c r="A53" s="22" t="s">
        <v>87</v>
      </c>
      <c r="B53" s="23" t="s">
        <v>88</v>
      </c>
      <c r="C53" s="23" t="s">
        <v>50</v>
      </c>
      <c r="D53" s="23" t="s">
        <v>64</v>
      </c>
      <c r="E53" s="33" t="s">
        <v>104</v>
      </c>
      <c r="F53" s="33" t="s">
        <v>66</v>
      </c>
      <c r="G53" s="23" t="s">
        <v>54</v>
      </c>
      <c r="H53" s="23" t="s">
        <v>92</v>
      </c>
      <c r="I53" s="23" t="s">
        <v>63</v>
      </c>
      <c r="J53" s="24">
        <v>3</v>
      </c>
      <c r="K53" s="34">
        <v>20000</v>
      </c>
      <c r="L53" s="25">
        <v>0</v>
      </c>
      <c r="M53" s="25">
        <v>0</v>
      </c>
      <c r="N53" s="26">
        <f t="shared" si="8"/>
        <v>20000</v>
      </c>
      <c r="O53" s="26"/>
      <c r="P53" s="26"/>
      <c r="Q53" s="26"/>
      <c r="R53" s="26">
        <f t="shared" si="9"/>
        <v>20000</v>
      </c>
      <c r="S53" s="37">
        <v>0</v>
      </c>
      <c r="T53" s="28">
        <f t="shared" si="10"/>
        <v>0</v>
      </c>
      <c r="U53" s="29">
        <v>0</v>
      </c>
      <c r="V53" s="28">
        <f t="shared" si="11"/>
        <v>0</v>
      </c>
      <c r="W53" s="25">
        <v>0</v>
      </c>
      <c r="X53" s="28">
        <f t="shared" si="12"/>
        <v>0</v>
      </c>
      <c r="Y53" s="5"/>
      <c r="Z53" s="5"/>
      <c r="AA53" s="5"/>
    </row>
    <row r="54" spans="1:27" ht="54" hidden="1" customHeight="1">
      <c r="A54" s="22" t="s">
        <v>87</v>
      </c>
      <c r="B54" s="23" t="s">
        <v>88</v>
      </c>
      <c r="C54" s="23" t="s">
        <v>50</v>
      </c>
      <c r="D54" s="23" t="s">
        <v>64</v>
      </c>
      <c r="E54" s="33" t="s">
        <v>104</v>
      </c>
      <c r="F54" s="33" t="s">
        <v>66</v>
      </c>
      <c r="G54" s="23" t="s">
        <v>54</v>
      </c>
      <c r="H54" s="23" t="s">
        <v>94</v>
      </c>
      <c r="I54" s="23" t="s">
        <v>63</v>
      </c>
      <c r="J54" s="24">
        <v>3</v>
      </c>
      <c r="K54" s="34"/>
      <c r="L54" s="25"/>
      <c r="M54" s="25"/>
      <c r="N54" s="26">
        <f t="shared" si="8"/>
        <v>0</v>
      </c>
      <c r="O54" s="26"/>
      <c r="P54" s="26"/>
      <c r="Q54" s="26"/>
      <c r="R54" s="26">
        <f t="shared" si="9"/>
        <v>0</v>
      </c>
      <c r="S54" s="37"/>
      <c r="T54" s="28">
        <f t="shared" si="10"/>
        <v>0</v>
      </c>
      <c r="U54" s="29"/>
      <c r="V54" s="28">
        <f t="shared" si="11"/>
        <v>0</v>
      </c>
      <c r="W54" s="25"/>
      <c r="X54" s="28">
        <f t="shared" si="12"/>
        <v>0</v>
      </c>
      <c r="Y54" s="5"/>
      <c r="Z54" s="5"/>
      <c r="AA54" s="5"/>
    </row>
    <row r="55" spans="1:27" ht="54" customHeight="1">
      <c r="A55" s="22" t="s">
        <v>87</v>
      </c>
      <c r="B55" s="23" t="s">
        <v>88</v>
      </c>
      <c r="C55" s="23" t="s">
        <v>50</v>
      </c>
      <c r="D55" s="23" t="s">
        <v>113</v>
      </c>
      <c r="E55" s="33" t="s">
        <v>104</v>
      </c>
      <c r="F55" s="33" t="s">
        <v>114</v>
      </c>
      <c r="G55" s="23" t="s">
        <v>54</v>
      </c>
      <c r="H55" s="23" t="s">
        <v>92</v>
      </c>
      <c r="I55" s="23" t="s">
        <v>63</v>
      </c>
      <c r="J55" s="24">
        <v>3</v>
      </c>
      <c r="K55" s="34">
        <f>9026663-K56</f>
        <v>8826663</v>
      </c>
      <c r="L55" s="25">
        <f>3254316.81-L56</f>
        <v>2694696.81</v>
      </c>
      <c r="M55" s="25">
        <f>91696.81</f>
        <v>91696.81</v>
      </c>
      <c r="N55" s="26">
        <f t="shared" si="8"/>
        <v>11429663</v>
      </c>
      <c r="O55" s="26"/>
      <c r="P55" s="26"/>
      <c r="Q55" s="26"/>
      <c r="R55" s="26">
        <f t="shared" si="9"/>
        <v>11429663</v>
      </c>
      <c r="S55" s="25">
        <f>6983045.19</f>
        <v>6983045.1900000004</v>
      </c>
      <c r="T55" s="28">
        <f t="shared" si="10"/>
        <v>0.61095809998947481</v>
      </c>
      <c r="U55" s="29">
        <v>37015.29</v>
      </c>
      <c r="V55" s="28">
        <f t="shared" si="11"/>
        <v>3.2385285550413866E-3</v>
      </c>
      <c r="W55" s="25">
        <v>0</v>
      </c>
      <c r="X55" s="28">
        <f t="shared" si="12"/>
        <v>0</v>
      </c>
      <c r="Y55" s="5"/>
      <c r="Z55" s="5"/>
      <c r="AA55" s="5"/>
    </row>
    <row r="56" spans="1:27" ht="54" customHeight="1">
      <c r="A56" s="22" t="s">
        <v>87</v>
      </c>
      <c r="B56" s="23" t="s">
        <v>88</v>
      </c>
      <c r="C56" s="23" t="s">
        <v>50</v>
      </c>
      <c r="D56" s="23" t="s">
        <v>113</v>
      </c>
      <c r="E56" s="33" t="s">
        <v>104</v>
      </c>
      <c r="F56" s="33" t="s">
        <v>114</v>
      </c>
      <c r="G56" s="23" t="s">
        <v>54</v>
      </c>
      <c r="H56" s="23" t="s">
        <v>92</v>
      </c>
      <c r="I56" s="23" t="s">
        <v>63</v>
      </c>
      <c r="J56" s="44">
        <v>4</v>
      </c>
      <c r="K56" s="34">
        <v>200000</v>
      </c>
      <c r="L56" s="25">
        <v>559620</v>
      </c>
      <c r="M56" s="25">
        <v>0</v>
      </c>
      <c r="N56" s="26">
        <f t="shared" si="8"/>
        <v>759620</v>
      </c>
      <c r="O56" s="26"/>
      <c r="P56" s="26"/>
      <c r="Q56" s="26"/>
      <c r="R56" s="26">
        <f t="shared" si="9"/>
        <v>759620</v>
      </c>
      <c r="S56" s="25">
        <v>0</v>
      </c>
      <c r="T56" s="28">
        <f t="shared" si="10"/>
        <v>0</v>
      </c>
      <c r="U56" s="46">
        <v>0</v>
      </c>
      <c r="V56" s="28">
        <f t="shared" si="11"/>
        <v>0</v>
      </c>
      <c r="W56" s="25">
        <v>0</v>
      </c>
      <c r="X56" s="28">
        <f t="shared" si="12"/>
        <v>0</v>
      </c>
      <c r="Y56" s="5"/>
      <c r="Z56" s="5"/>
      <c r="AA56" s="5"/>
    </row>
    <row r="57" spans="1:27" ht="54" hidden="1" customHeight="1">
      <c r="A57" s="22" t="s">
        <v>87</v>
      </c>
      <c r="B57" s="23" t="s">
        <v>88</v>
      </c>
      <c r="C57" s="23" t="s">
        <v>50</v>
      </c>
      <c r="D57" s="23" t="s">
        <v>113</v>
      </c>
      <c r="E57" s="33" t="s">
        <v>104</v>
      </c>
      <c r="F57" s="33" t="s">
        <v>114</v>
      </c>
      <c r="G57" s="23" t="s">
        <v>54</v>
      </c>
      <c r="H57" s="23" t="s">
        <v>94</v>
      </c>
      <c r="I57" s="23" t="s">
        <v>63</v>
      </c>
      <c r="J57" s="24">
        <v>3</v>
      </c>
      <c r="K57" s="34"/>
      <c r="L57" s="25"/>
      <c r="M57" s="25"/>
      <c r="N57" s="26">
        <f t="shared" si="8"/>
        <v>0</v>
      </c>
      <c r="O57" s="26"/>
      <c r="P57" s="26"/>
      <c r="Q57" s="26"/>
      <c r="R57" s="26">
        <f t="shared" si="9"/>
        <v>0</v>
      </c>
      <c r="S57" s="35"/>
      <c r="T57" s="28">
        <f t="shared" si="10"/>
        <v>0</v>
      </c>
      <c r="U57" s="29"/>
      <c r="V57" s="28">
        <f t="shared" si="11"/>
        <v>0</v>
      </c>
      <c r="W57" s="25"/>
      <c r="X57" s="28">
        <f t="shared" si="12"/>
        <v>0</v>
      </c>
      <c r="Y57" s="5"/>
      <c r="Z57" s="5"/>
      <c r="AA57" s="5"/>
    </row>
    <row r="58" spans="1:27" ht="54" hidden="1" customHeight="1">
      <c r="A58" s="22" t="s">
        <v>87</v>
      </c>
      <c r="B58" s="23" t="s">
        <v>88</v>
      </c>
      <c r="C58" s="23" t="s">
        <v>50</v>
      </c>
      <c r="D58" s="23" t="s">
        <v>113</v>
      </c>
      <c r="E58" s="33" t="s">
        <v>104</v>
      </c>
      <c r="F58" s="33" t="s">
        <v>114</v>
      </c>
      <c r="G58" s="23" t="s">
        <v>54</v>
      </c>
      <c r="H58" s="23" t="s">
        <v>94</v>
      </c>
      <c r="I58" s="23" t="s">
        <v>63</v>
      </c>
      <c r="J58" s="44">
        <v>4</v>
      </c>
      <c r="K58" s="34"/>
      <c r="L58" s="25"/>
      <c r="M58" s="25"/>
      <c r="N58" s="26">
        <f t="shared" si="8"/>
        <v>0</v>
      </c>
      <c r="O58" s="26"/>
      <c r="P58" s="26"/>
      <c r="Q58" s="26"/>
      <c r="R58" s="26">
        <f t="shared" si="9"/>
        <v>0</v>
      </c>
      <c r="S58" s="35"/>
      <c r="T58" s="28">
        <f t="shared" si="10"/>
        <v>0</v>
      </c>
      <c r="U58" s="46"/>
      <c r="V58" s="28">
        <f t="shared" si="11"/>
        <v>0</v>
      </c>
      <c r="W58" s="25"/>
      <c r="X58" s="28">
        <f t="shared" si="12"/>
        <v>0</v>
      </c>
      <c r="Y58" s="5"/>
      <c r="Z58" s="5"/>
      <c r="AA58" s="5"/>
    </row>
    <row r="59" spans="1:27" ht="63" hidden="1" customHeight="1">
      <c r="A59" s="22" t="s">
        <v>87</v>
      </c>
      <c r="B59" s="23" t="s">
        <v>88</v>
      </c>
      <c r="C59" s="23" t="s">
        <v>50</v>
      </c>
      <c r="D59" s="23" t="s">
        <v>113</v>
      </c>
      <c r="E59" s="33" t="s">
        <v>65</v>
      </c>
      <c r="F59" s="33" t="s">
        <v>114</v>
      </c>
      <c r="G59" s="23" t="s">
        <v>54</v>
      </c>
      <c r="H59" s="23" t="s">
        <v>115</v>
      </c>
      <c r="I59" s="23" t="s">
        <v>56</v>
      </c>
      <c r="J59" s="24">
        <v>3</v>
      </c>
      <c r="K59" s="34"/>
      <c r="L59" s="25"/>
      <c r="M59" s="25"/>
      <c r="N59" s="26">
        <f t="shared" si="8"/>
        <v>0</v>
      </c>
      <c r="O59" s="26"/>
      <c r="P59" s="26"/>
      <c r="Q59" s="26"/>
      <c r="R59" s="26">
        <f t="shared" si="9"/>
        <v>0</v>
      </c>
      <c r="S59" s="35"/>
      <c r="T59" s="28">
        <f t="shared" si="10"/>
        <v>0</v>
      </c>
      <c r="U59" s="29"/>
      <c r="V59" s="28">
        <f t="shared" si="11"/>
        <v>0</v>
      </c>
      <c r="W59" s="25"/>
      <c r="X59" s="28">
        <f t="shared" si="12"/>
        <v>0</v>
      </c>
      <c r="Y59" s="5"/>
      <c r="Z59" s="5"/>
      <c r="AA59" s="5"/>
    </row>
    <row r="60" spans="1:27" ht="63" customHeight="1">
      <c r="A60" s="22" t="s">
        <v>87</v>
      </c>
      <c r="B60" s="23" t="s">
        <v>88</v>
      </c>
      <c r="C60" s="23" t="s">
        <v>50</v>
      </c>
      <c r="D60" s="23" t="s">
        <v>116</v>
      </c>
      <c r="E60" s="33" t="s">
        <v>65</v>
      </c>
      <c r="F60" s="23" t="s">
        <v>117</v>
      </c>
      <c r="G60" s="23" t="s">
        <v>54</v>
      </c>
      <c r="H60" s="23" t="s">
        <v>92</v>
      </c>
      <c r="I60" s="23" t="s">
        <v>56</v>
      </c>
      <c r="J60" s="24">
        <v>3</v>
      </c>
      <c r="K60" s="34">
        <v>300000</v>
      </c>
      <c r="L60" s="25">
        <v>0</v>
      </c>
      <c r="M60" s="25">
        <v>0</v>
      </c>
      <c r="N60" s="26">
        <f t="shared" si="8"/>
        <v>300000</v>
      </c>
      <c r="O60" s="26"/>
      <c r="P60" s="26"/>
      <c r="Q60" s="26"/>
      <c r="R60" s="26">
        <f t="shared" si="9"/>
        <v>300000</v>
      </c>
      <c r="S60" s="35">
        <v>0</v>
      </c>
      <c r="T60" s="28">
        <f t="shared" si="10"/>
        <v>0</v>
      </c>
      <c r="U60" s="29">
        <v>0</v>
      </c>
      <c r="V60" s="28">
        <f t="shared" si="11"/>
        <v>0</v>
      </c>
      <c r="W60" s="25">
        <v>0</v>
      </c>
      <c r="X60" s="28">
        <f t="shared" si="12"/>
        <v>0</v>
      </c>
      <c r="Y60" s="5"/>
      <c r="Z60" s="5"/>
      <c r="AA60" s="5"/>
    </row>
    <row r="61" spans="1:27" ht="63" customHeight="1">
      <c r="A61" s="22" t="s">
        <v>87</v>
      </c>
      <c r="B61" s="23" t="s">
        <v>88</v>
      </c>
      <c r="C61" s="23" t="s">
        <v>50</v>
      </c>
      <c r="D61" s="23" t="s">
        <v>71</v>
      </c>
      <c r="E61" s="33" t="s">
        <v>65</v>
      </c>
      <c r="F61" s="23" t="s">
        <v>72</v>
      </c>
      <c r="G61" s="23" t="s">
        <v>54</v>
      </c>
      <c r="H61" s="23" t="s">
        <v>92</v>
      </c>
      <c r="I61" s="23" t="s">
        <v>56</v>
      </c>
      <c r="J61" s="24">
        <v>3</v>
      </c>
      <c r="K61" s="34">
        <v>15000</v>
      </c>
      <c r="L61" s="25">
        <v>0</v>
      </c>
      <c r="M61" s="25">
        <v>0</v>
      </c>
      <c r="N61" s="26">
        <f t="shared" si="8"/>
        <v>15000</v>
      </c>
      <c r="O61" s="26"/>
      <c r="P61" s="26"/>
      <c r="Q61" s="26"/>
      <c r="R61" s="26">
        <f t="shared" si="9"/>
        <v>15000</v>
      </c>
      <c r="S61" s="35">
        <v>0</v>
      </c>
      <c r="T61" s="28">
        <f t="shared" si="10"/>
        <v>0</v>
      </c>
      <c r="U61" s="55">
        <v>0</v>
      </c>
      <c r="V61" s="28">
        <f t="shared" si="11"/>
        <v>0</v>
      </c>
      <c r="W61" s="25">
        <v>0</v>
      </c>
      <c r="X61" s="28">
        <f t="shared" si="12"/>
        <v>0</v>
      </c>
      <c r="Y61" s="5"/>
      <c r="Z61" s="5"/>
      <c r="AA61" s="5"/>
    </row>
    <row r="62" spans="1:27" ht="63" hidden="1" customHeight="1">
      <c r="A62" s="22" t="s">
        <v>87</v>
      </c>
      <c r="B62" s="23" t="s">
        <v>88</v>
      </c>
      <c r="C62" s="23" t="s">
        <v>50</v>
      </c>
      <c r="D62" s="23" t="s">
        <v>71</v>
      </c>
      <c r="E62" s="33" t="s">
        <v>65</v>
      </c>
      <c r="F62" s="23" t="s">
        <v>72</v>
      </c>
      <c r="G62" s="23" t="s">
        <v>54</v>
      </c>
      <c r="H62" s="23" t="s">
        <v>94</v>
      </c>
      <c r="I62" s="23" t="s">
        <v>56</v>
      </c>
      <c r="J62" s="24">
        <v>3</v>
      </c>
      <c r="K62" s="34"/>
      <c r="L62" s="25"/>
      <c r="M62" s="25"/>
      <c r="N62" s="26">
        <f t="shared" si="8"/>
        <v>0</v>
      </c>
      <c r="O62" s="26"/>
      <c r="P62" s="26"/>
      <c r="Q62" s="26"/>
      <c r="R62" s="26">
        <f t="shared" si="9"/>
        <v>0</v>
      </c>
      <c r="S62" s="35"/>
      <c r="T62" s="28">
        <f t="shared" si="10"/>
        <v>0</v>
      </c>
      <c r="U62" s="29"/>
      <c r="V62" s="28">
        <f t="shared" si="11"/>
        <v>0</v>
      </c>
      <c r="W62" s="25"/>
      <c r="X62" s="28">
        <f t="shared" si="12"/>
        <v>0</v>
      </c>
      <c r="Y62" s="5"/>
      <c r="Z62" s="5"/>
      <c r="AA62" s="5"/>
    </row>
    <row r="63" spans="1:27" ht="63" customHeight="1">
      <c r="A63" s="22" t="s">
        <v>87</v>
      </c>
      <c r="B63" s="23" t="s">
        <v>88</v>
      </c>
      <c r="C63" s="23" t="s">
        <v>118</v>
      </c>
      <c r="D63" s="56" t="s">
        <v>119</v>
      </c>
      <c r="E63" s="33" t="s">
        <v>65</v>
      </c>
      <c r="F63" s="23" t="s">
        <v>120</v>
      </c>
      <c r="G63" s="23" t="s">
        <v>54</v>
      </c>
      <c r="H63" s="23" t="s">
        <v>92</v>
      </c>
      <c r="I63" s="23" t="s">
        <v>56</v>
      </c>
      <c r="J63" s="24">
        <v>3</v>
      </c>
      <c r="K63" s="34">
        <f>18113000-K64</f>
        <v>15720000</v>
      </c>
      <c r="L63" s="25">
        <v>0</v>
      </c>
      <c r="M63" s="25">
        <v>0</v>
      </c>
      <c r="N63" s="26">
        <f t="shared" si="8"/>
        <v>15720000</v>
      </c>
      <c r="O63" s="26"/>
      <c r="P63" s="26"/>
      <c r="Q63" s="26"/>
      <c r="R63" s="26">
        <f t="shared" si="9"/>
        <v>15720000</v>
      </c>
      <c r="S63" s="35">
        <f>7719401.45</f>
        <v>7719401.4500000002</v>
      </c>
      <c r="T63" s="28">
        <f t="shared" si="10"/>
        <v>0.49105607188295164</v>
      </c>
      <c r="U63" s="29">
        <v>0</v>
      </c>
      <c r="V63" s="28">
        <f t="shared" si="11"/>
        <v>0</v>
      </c>
      <c r="W63" s="25">
        <v>0</v>
      </c>
      <c r="X63" s="28">
        <f t="shared" si="12"/>
        <v>0</v>
      </c>
      <c r="Y63" s="5"/>
      <c r="Z63" s="5"/>
      <c r="AA63" s="5"/>
    </row>
    <row r="64" spans="1:27" ht="63" customHeight="1">
      <c r="A64" s="22" t="s">
        <v>87</v>
      </c>
      <c r="B64" s="23" t="s">
        <v>88</v>
      </c>
      <c r="C64" s="23" t="s">
        <v>118</v>
      </c>
      <c r="D64" s="56" t="s">
        <v>119</v>
      </c>
      <c r="E64" s="33" t="s">
        <v>65</v>
      </c>
      <c r="F64" s="23" t="s">
        <v>120</v>
      </c>
      <c r="G64" s="23" t="s">
        <v>54</v>
      </c>
      <c r="H64" s="23" t="s">
        <v>92</v>
      </c>
      <c r="I64" s="23" t="s">
        <v>56</v>
      </c>
      <c r="J64" s="44">
        <v>4</v>
      </c>
      <c r="K64" s="34">
        <v>2393000</v>
      </c>
      <c r="L64" s="25">
        <v>0</v>
      </c>
      <c r="M64" s="25">
        <v>1292820</v>
      </c>
      <c r="N64" s="26">
        <f t="shared" si="8"/>
        <v>1100180</v>
      </c>
      <c r="O64" s="26"/>
      <c r="P64" s="26"/>
      <c r="Q64" s="26"/>
      <c r="R64" s="26">
        <f t="shared" si="9"/>
        <v>1100180</v>
      </c>
      <c r="S64" s="35">
        <v>0</v>
      </c>
      <c r="T64" s="28">
        <f t="shared" si="10"/>
        <v>0</v>
      </c>
      <c r="U64" s="46">
        <v>0</v>
      </c>
      <c r="V64" s="28">
        <f t="shared" si="11"/>
        <v>0</v>
      </c>
      <c r="W64" s="25">
        <v>0</v>
      </c>
      <c r="X64" s="28">
        <f t="shared" si="12"/>
        <v>0</v>
      </c>
      <c r="Y64" s="5"/>
      <c r="Z64" s="5"/>
      <c r="AA64" s="5"/>
    </row>
    <row r="65" spans="1:27" ht="63" hidden="1" customHeight="1">
      <c r="A65" s="22" t="s">
        <v>87</v>
      </c>
      <c r="B65" s="23" t="s">
        <v>88</v>
      </c>
      <c r="C65" s="23" t="s">
        <v>118</v>
      </c>
      <c r="D65" s="23" t="s">
        <v>119</v>
      </c>
      <c r="E65" s="33" t="s">
        <v>65</v>
      </c>
      <c r="F65" s="23" t="s">
        <v>120</v>
      </c>
      <c r="G65" s="23" t="s">
        <v>54</v>
      </c>
      <c r="H65" s="23" t="s">
        <v>94</v>
      </c>
      <c r="I65" s="23" t="s">
        <v>56</v>
      </c>
      <c r="J65" s="24">
        <v>3</v>
      </c>
      <c r="K65" s="34"/>
      <c r="L65" s="25"/>
      <c r="M65" s="25"/>
      <c r="N65" s="26">
        <f t="shared" si="8"/>
        <v>0</v>
      </c>
      <c r="O65" s="26"/>
      <c r="P65" s="26"/>
      <c r="Q65" s="26"/>
      <c r="R65" s="26">
        <f t="shared" si="9"/>
        <v>0</v>
      </c>
      <c r="S65" s="35"/>
      <c r="T65" s="28">
        <f t="shared" si="10"/>
        <v>0</v>
      </c>
      <c r="U65" s="29"/>
      <c r="V65" s="28">
        <f t="shared" si="11"/>
        <v>0</v>
      </c>
      <c r="W65" s="25"/>
      <c r="X65" s="28">
        <f t="shared" si="12"/>
        <v>0</v>
      </c>
      <c r="Y65" s="5"/>
      <c r="Z65" s="5"/>
      <c r="AA65" s="5"/>
    </row>
    <row r="66" spans="1:27" ht="63" hidden="1" customHeight="1">
      <c r="A66" s="22" t="s">
        <v>87</v>
      </c>
      <c r="B66" s="23" t="s">
        <v>88</v>
      </c>
      <c r="C66" s="23" t="s">
        <v>118</v>
      </c>
      <c r="D66" s="23" t="s">
        <v>119</v>
      </c>
      <c r="E66" s="33" t="s">
        <v>65</v>
      </c>
      <c r="F66" s="23" t="s">
        <v>120</v>
      </c>
      <c r="G66" s="23" t="s">
        <v>54</v>
      </c>
      <c r="H66" s="23" t="s">
        <v>94</v>
      </c>
      <c r="I66" s="23" t="s">
        <v>56</v>
      </c>
      <c r="J66" s="44">
        <v>4</v>
      </c>
      <c r="K66" s="34"/>
      <c r="L66" s="25"/>
      <c r="M66" s="25"/>
      <c r="N66" s="26">
        <f t="shared" si="8"/>
        <v>0</v>
      </c>
      <c r="O66" s="26"/>
      <c r="P66" s="26"/>
      <c r="Q66" s="26"/>
      <c r="R66" s="26">
        <f t="shared" si="9"/>
        <v>0</v>
      </c>
      <c r="S66" s="35"/>
      <c r="T66" s="28">
        <f t="shared" si="10"/>
        <v>0</v>
      </c>
      <c r="U66" s="46"/>
      <c r="V66" s="28">
        <f t="shared" si="11"/>
        <v>0</v>
      </c>
      <c r="W66" s="25"/>
      <c r="X66" s="28">
        <f t="shared" si="12"/>
        <v>0</v>
      </c>
      <c r="Y66" s="5"/>
      <c r="Z66" s="5"/>
      <c r="AA66" s="5"/>
    </row>
    <row r="67" spans="1:27" ht="63" customHeight="1">
      <c r="A67" s="22" t="s">
        <v>87</v>
      </c>
      <c r="B67" s="23" t="s">
        <v>88</v>
      </c>
      <c r="C67" s="23" t="s">
        <v>118</v>
      </c>
      <c r="D67" s="23" t="s">
        <v>121</v>
      </c>
      <c r="E67" s="33" t="s">
        <v>65</v>
      </c>
      <c r="F67" s="23" t="s">
        <v>122</v>
      </c>
      <c r="G67" s="23" t="s">
        <v>54</v>
      </c>
      <c r="H67" s="23" t="s">
        <v>92</v>
      </c>
      <c r="I67" s="23" t="s">
        <v>56</v>
      </c>
      <c r="J67" s="24">
        <v>3</v>
      </c>
      <c r="K67" s="34">
        <f>5300000-K68</f>
        <v>4400000</v>
      </c>
      <c r="L67" s="25">
        <v>0</v>
      </c>
      <c r="M67" s="25">
        <v>0</v>
      </c>
      <c r="N67" s="26">
        <f t="shared" si="8"/>
        <v>4400000</v>
      </c>
      <c r="O67" s="26"/>
      <c r="P67" s="26"/>
      <c r="Q67" s="26"/>
      <c r="R67" s="26">
        <f t="shared" si="9"/>
        <v>4400000</v>
      </c>
      <c r="S67" s="35">
        <v>2210915.69</v>
      </c>
      <c r="T67" s="28">
        <f t="shared" si="10"/>
        <v>0.50248083863636361</v>
      </c>
      <c r="U67" s="29">
        <v>0</v>
      </c>
      <c r="V67" s="28">
        <f t="shared" si="11"/>
        <v>0</v>
      </c>
      <c r="W67" s="25">
        <v>0</v>
      </c>
      <c r="X67" s="28">
        <f t="shared" si="12"/>
        <v>0</v>
      </c>
      <c r="Y67" s="5"/>
      <c r="Z67" s="5"/>
      <c r="AA67" s="5"/>
    </row>
    <row r="68" spans="1:27" ht="63" customHeight="1">
      <c r="A68" s="22" t="s">
        <v>87</v>
      </c>
      <c r="B68" s="23" t="s">
        <v>88</v>
      </c>
      <c r="C68" s="23" t="s">
        <v>118</v>
      </c>
      <c r="D68" s="23" t="s">
        <v>121</v>
      </c>
      <c r="E68" s="33" t="s">
        <v>65</v>
      </c>
      <c r="F68" s="23" t="s">
        <v>122</v>
      </c>
      <c r="G68" s="23" t="s">
        <v>54</v>
      </c>
      <c r="H68" s="23" t="s">
        <v>92</v>
      </c>
      <c r="I68" s="23" t="s">
        <v>56</v>
      </c>
      <c r="J68" s="44">
        <v>4</v>
      </c>
      <c r="K68" s="34">
        <v>900000</v>
      </c>
      <c r="L68" s="25">
        <v>0</v>
      </c>
      <c r="M68" s="25">
        <v>616800</v>
      </c>
      <c r="N68" s="26">
        <f t="shared" si="8"/>
        <v>283200</v>
      </c>
      <c r="O68" s="26"/>
      <c r="P68" s="26"/>
      <c r="Q68" s="26"/>
      <c r="R68" s="26">
        <f t="shared" si="9"/>
        <v>283200</v>
      </c>
      <c r="S68" s="35">
        <v>0</v>
      </c>
      <c r="T68" s="28">
        <f t="shared" si="10"/>
        <v>0</v>
      </c>
      <c r="U68" s="46">
        <v>0</v>
      </c>
      <c r="V68" s="28">
        <f t="shared" si="11"/>
        <v>0</v>
      </c>
      <c r="W68" s="25">
        <v>0</v>
      </c>
      <c r="X68" s="28">
        <f t="shared" si="12"/>
        <v>0</v>
      </c>
      <c r="Y68" s="5"/>
      <c r="Z68" s="5"/>
      <c r="AA68" s="5"/>
    </row>
    <row r="69" spans="1:27" ht="63" hidden="1" customHeight="1">
      <c r="A69" s="22" t="s">
        <v>87</v>
      </c>
      <c r="B69" s="23" t="s">
        <v>88</v>
      </c>
      <c r="C69" s="23" t="s">
        <v>118</v>
      </c>
      <c r="D69" s="23" t="s">
        <v>121</v>
      </c>
      <c r="E69" s="33" t="s">
        <v>65</v>
      </c>
      <c r="F69" s="23" t="s">
        <v>122</v>
      </c>
      <c r="G69" s="23" t="s">
        <v>54</v>
      </c>
      <c r="H69" s="23" t="s">
        <v>94</v>
      </c>
      <c r="I69" s="23" t="s">
        <v>56</v>
      </c>
      <c r="J69" s="44">
        <v>4</v>
      </c>
      <c r="K69" s="34"/>
      <c r="L69" s="25"/>
      <c r="M69" s="25"/>
      <c r="N69" s="26">
        <f t="shared" si="8"/>
        <v>0</v>
      </c>
      <c r="O69" s="26"/>
      <c r="P69" s="26"/>
      <c r="Q69" s="26"/>
      <c r="R69" s="26">
        <f t="shared" si="9"/>
        <v>0</v>
      </c>
      <c r="S69" s="35"/>
      <c r="T69" s="28">
        <f t="shared" si="10"/>
        <v>0</v>
      </c>
      <c r="U69" s="46"/>
      <c r="V69" s="28">
        <f t="shared" si="11"/>
        <v>0</v>
      </c>
      <c r="W69" s="25"/>
      <c r="X69" s="28">
        <f t="shared" si="12"/>
        <v>0</v>
      </c>
      <c r="Y69" s="5"/>
      <c r="Z69" s="5"/>
      <c r="AA69" s="5"/>
    </row>
    <row r="70" spans="1:27" ht="63" customHeight="1">
      <c r="A70" s="22" t="s">
        <v>87</v>
      </c>
      <c r="B70" s="23" t="s">
        <v>88</v>
      </c>
      <c r="C70" s="23" t="s">
        <v>76</v>
      </c>
      <c r="D70" s="23" t="s">
        <v>77</v>
      </c>
      <c r="E70" s="33" t="s">
        <v>65</v>
      </c>
      <c r="F70" s="23" t="s">
        <v>123</v>
      </c>
      <c r="G70" s="23" t="s">
        <v>54</v>
      </c>
      <c r="H70" s="23" t="s">
        <v>92</v>
      </c>
      <c r="I70" s="23" t="s">
        <v>56</v>
      </c>
      <c r="J70" s="24">
        <v>3</v>
      </c>
      <c r="K70" s="34">
        <v>0</v>
      </c>
      <c r="L70" s="25">
        <v>1350000</v>
      </c>
      <c r="M70" s="25">
        <v>0</v>
      </c>
      <c r="N70" s="26">
        <f t="shared" si="8"/>
        <v>1350000</v>
      </c>
      <c r="O70" s="26"/>
      <c r="P70" s="26"/>
      <c r="Q70" s="26"/>
      <c r="R70" s="26">
        <f t="shared" si="9"/>
        <v>1350000</v>
      </c>
      <c r="S70" s="35">
        <v>0</v>
      </c>
      <c r="T70" s="28">
        <f t="shared" si="10"/>
        <v>0</v>
      </c>
      <c r="U70" s="29">
        <v>0</v>
      </c>
      <c r="V70" s="28">
        <f t="shared" si="11"/>
        <v>0</v>
      </c>
      <c r="W70" s="25">
        <v>0</v>
      </c>
      <c r="X70" s="28">
        <f t="shared" si="12"/>
        <v>0</v>
      </c>
      <c r="Y70" s="5"/>
      <c r="Z70" s="5"/>
      <c r="AA70" s="5"/>
    </row>
    <row r="71" spans="1:27" ht="63" customHeight="1">
      <c r="A71" s="22" t="s">
        <v>87</v>
      </c>
      <c r="B71" s="23" t="s">
        <v>88</v>
      </c>
      <c r="C71" s="23" t="s">
        <v>76</v>
      </c>
      <c r="D71" s="23" t="s">
        <v>77</v>
      </c>
      <c r="E71" s="33" t="s">
        <v>65</v>
      </c>
      <c r="F71" s="23" t="s">
        <v>123</v>
      </c>
      <c r="G71" s="23" t="s">
        <v>54</v>
      </c>
      <c r="H71" s="23" t="s">
        <v>112</v>
      </c>
      <c r="I71" s="23" t="s">
        <v>56</v>
      </c>
      <c r="J71" s="24">
        <v>3</v>
      </c>
      <c r="K71" s="34">
        <v>300000</v>
      </c>
      <c r="L71" s="25">
        <v>0</v>
      </c>
      <c r="M71" s="25">
        <v>0</v>
      </c>
      <c r="N71" s="26">
        <f t="shared" si="8"/>
        <v>300000</v>
      </c>
      <c r="O71" s="26"/>
      <c r="P71" s="26"/>
      <c r="Q71" s="26"/>
      <c r="R71" s="26">
        <f t="shared" si="9"/>
        <v>300000</v>
      </c>
      <c r="S71" s="35">
        <v>19050</v>
      </c>
      <c r="T71" s="28">
        <f t="shared" si="10"/>
        <v>6.3500000000000001E-2</v>
      </c>
      <c r="U71" s="29">
        <v>0</v>
      </c>
      <c r="V71" s="28">
        <f t="shared" si="11"/>
        <v>0</v>
      </c>
      <c r="W71" s="25">
        <v>0</v>
      </c>
      <c r="X71" s="28">
        <f t="shared" si="12"/>
        <v>0</v>
      </c>
      <c r="Y71" s="5"/>
      <c r="Z71" s="5"/>
      <c r="AA71" s="5"/>
    </row>
    <row r="72" spans="1:27" ht="15.75" customHeight="1">
      <c r="A72" s="143" t="s">
        <v>124</v>
      </c>
      <c r="B72" s="142"/>
      <c r="C72" s="142"/>
      <c r="D72" s="142"/>
      <c r="E72" s="142"/>
      <c r="F72" s="142"/>
      <c r="G72" s="142"/>
      <c r="H72" s="142"/>
      <c r="I72" s="142"/>
      <c r="J72" s="137"/>
      <c r="K72" s="39">
        <f t="shared" ref="K72:S72" si="13">SUM(K33:K71)</f>
        <v>83793000</v>
      </c>
      <c r="L72" s="39">
        <f t="shared" si="13"/>
        <v>6338026.1100000003</v>
      </c>
      <c r="M72" s="39">
        <f t="shared" si="13"/>
        <v>6338026.1099999994</v>
      </c>
      <c r="N72" s="39">
        <f t="shared" si="13"/>
        <v>83793000</v>
      </c>
      <c r="O72" s="39">
        <f t="shared" si="13"/>
        <v>0</v>
      </c>
      <c r="P72" s="39">
        <f t="shared" si="13"/>
        <v>0</v>
      </c>
      <c r="Q72" s="39">
        <f t="shared" si="13"/>
        <v>0</v>
      </c>
      <c r="R72" s="39">
        <f t="shared" si="13"/>
        <v>83793000</v>
      </c>
      <c r="S72" s="39">
        <f t="shared" si="13"/>
        <v>40623076.960000001</v>
      </c>
      <c r="T72" s="40">
        <f t="shared" si="10"/>
        <v>0.48480275154249164</v>
      </c>
      <c r="U72" s="39">
        <f>SUM(U33:U71)</f>
        <v>610498.49</v>
      </c>
      <c r="V72" s="40">
        <f t="shared" si="11"/>
        <v>7.285793443366391E-3</v>
      </c>
      <c r="W72" s="39">
        <f>SUM(W33:W71)</f>
        <v>0</v>
      </c>
      <c r="X72" s="40">
        <f t="shared" si="12"/>
        <v>0</v>
      </c>
      <c r="Y72" s="5"/>
      <c r="Z72" s="5"/>
      <c r="AA72" s="5"/>
    </row>
    <row r="73" spans="1:27" ht="15.75" customHeight="1">
      <c r="A73" s="144" t="s">
        <v>125</v>
      </c>
      <c r="B73" s="142"/>
      <c r="C73" s="142"/>
      <c r="D73" s="142"/>
      <c r="E73" s="142"/>
      <c r="F73" s="142"/>
      <c r="G73" s="142"/>
      <c r="H73" s="142"/>
      <c r="I73" s="142"/>
      <c r="J73" s="137"/>
      <c r="K73" s="57">
        <f t="shared" ref="K73:S73" si="14">SUM(K30+K72)</f>
        <v>953062000</v>
      </c>
      <c r="L73" s="57">
        <f t="shared" si="14"/>
        <v>26684283.140000001</v>
      </c>
      <c r="M73" s="57">
        <f t="shared" si="14"/>
        <v>26684283.140000001</v>
      </c>
      <c r="N73" s="57">
        <f t="shared" si="14"/>
        <v>953062000</v>
      </c>
      <c r="O73" s="57">
        <f t="shared" si="14"/>
        <v>0</v>
      </c>
      <c r="P73" s="57">
        <f t="shared" si="14"/>
        <v>0</v>
      </c>
      <c r="Q73" s="57">
        <f t="shared" si="14"/>
        <v>0</v>
      </c>
      <c r="R73" s="57">
        <f t="shared" si="14"/>
        <v>953062000</v>
      </c>
      <c r="S73" s="57">
        <f t="shared" si="14"/>
        <v>101103239.42</v>
      </c>
      <c r="T73" s="58">
        <f t="shared" si="10"/>
        <v>0.10608254176538358</v>
      </c>
      <c r="U73" s="57">
        <f>SUM(U30+U72)</f>
        <v>61051660.950000003</v>
      </c>
      <c r="V73" s="58">
        <f t="shared" si="11"/>
        <v>6.4058435810052231E-2</v>
      </c>
      <c r="W73" s="57">
        <f>SUM(W30+W72)</f>
        <v>60402318.43</v>
      </c>
      <c r="X73" s="58">
        <f t="shared" si="12"/>
        <v>6.3377113377723587E-2</v>
      </c>
      <c r="Y73" s="30"/>
      <c r="Z73" s="5"/>
      <c r="AA73" s="5"/>
    </row>
    <row r="74" spans="1:27" ht="14.25" customHeight="1">
      <c r="A74" s="59" t="s">
        <v>126</v>
      </c>
      <c r="B74" s="60"/>
      <c r="C74" s="60"/>
      <c r="D74" s="60"/>
      <c r="E74" s="60"/>
      <c r="F74" s="60"/>
      <c r="G74" s="60"/>
      <c r="H74" s="61"/>
      <c r="I74" s="61"/>
      <c r="J74" s="61"/>
      <c r="K74" s="60"/>
      <c r="L74" s="60"/>
      <c r="M74" s="62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5"/>
      <c r="Z74" s="5"/>
      <c r="AA74" s="5"/>
    </row>
    <row r="75" spans="1:27" ht="14.25" customHeight="1">
      <c r="A75" s="59" t="s">
        <v>127</v>
      </c>
      <c r="B75" s="64"/>
      <c r="C75" s="60"/>
      <c r="D75" s="60"/>
      <c r="E75" s="60"/>
      <c r="F75" s="60"/>
      <c r="G75" s="60"/>
      <c r="H75" s="61"/>
      <c r="I75" s="61"/>
      <c r="J75" s="61"/>
      <c r="K75" s="60"/>
      <c r="L75" s="60"/>
      <c r="M75" s="62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5"/>
      <c r="Z75" s="5"/>
      <c r="AA75" s="5"/>
    </row>
    <row r="76" spans="1:27" ht="14.25" customHeight="1">
      <c r="A76" s="145" t="s">
        <v>128</v>
      </c>
      <c r="B76" s="142"/>
      <c r="C76" s="142"/>
      <c r="D76" s="142"/>
      <c r="E76" s="142"/>
      <c r="F76" s="142"/>
      <c r="G76" s="142"/>
      <c r="H76" s="142"/>
      <c r="I76" s="142"/>
      <c r="J76" s="142"/>
      <c r="K76" s="142"/>
      <c r="L76" s="142"/>
      <c r="M76" s="137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5"/>
      <c r="Z76" s="5"/>
      <c r="AA76" s="5"/>
    </row>
    <row r="77" spans="1:27" ht="14.25" customHeight="1">
      <c r="A77" s="6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63"/>
      <c r="O77" s="63"/>
      <c r="P77" s="63"/>
      <c r="Q77" s="5"/>
      <c r="R77" s="5"/>
      <c r="S77" s="5"/>
      <c r="T77" s="5"/>
      <c r="U77" s="5"/>
      <c r="V77" s="5"/>
      <c r="W77" s="5"/>
      <c r="X77" s="66"/>
      <c r="Y77" s="5"/>
      <c r="Z77" s="5"/>
      <c r="AA77" s="5"/>
    </row>
    <row r="78" spans="1:27" ht="14.25" customHeight="1">
      <c r="A78" s="146"/>
      <c r="B78" s="147"/>
      <c r="C78" s="147"/>
      <c r="D78" s="147"/>
      <c r="E78" s="147"/>
      <c r="F78" s="147"/>
      <c r="G78" s="147"/>
      <c r="H78" s="148"/>
      <c r="I78" s="5"/>
      <c r="J78" s="5"/>
      <c r="K78" s="5"/>
      <c r="L78" s="5"/>
      <c r="M78" s="5"/>
      <c r="N78" s="63"/>
      <c r="O78" s="63"/>
      <c r="P78" s="63"/>
      <c r="Q78" s="5"/>
      <c r="R78" s="5"/>
      <c r="S78" s="5"/>
      <c r="T78" s="5"/>
      <c r="U78" s="5"/>
      <c r="V78" s="5"/>
      <c r="W78" s="5"/>
      <c r="X78" s="66"/>
      <c r="Y78" s="5"/>
      <c r="Z78" s="5"/>
      <c r="AA78" s="5"/>
    </row>
    <row r="79" spans="1:27" ht="14.25" customHeight="1">
      <c r="A79" s="149"/>
      <c r="B79" s="135"/>
      <c r="C79" s="135"/>
      <c r="D79" s="135"/>
      <c r="E79" s="135"/>
      <c r="F79" s="135"/>
      <c r="G79" s="135"/>
      <c r="H79" s="150"/>
      <c r="I79" s="3"/>
      <c r="J79" s="3"/>
      <c r="K79" s="67"/>
      <c r="L79" s="67"/>
      <c r="M79" s="67"/>
      <c r="N79" s="67"/>
      <c r="O79" s="67"/>
      <c r="P79" s="67"/>
      <c r="Q79" s="5"/>
      <c r="R79" s="5"/>
      <c r="S79" s="5"/>
      <c r="T79" s="5"/>
      <c r="U79" s="5"/>
      <c r="V79" s="5"/>
      <c r="W79" s="5"/>
      <c r="X79" s="66"/>
      <c r="Y79" s="30"/>
      <c r="Z79" s="5"/>
      <c r="AA79" s="5"/>
    </row>
    <row r="80" spans="1:27" ht="14.25" customHeight="1">
      <c r="A80" s="151"/>
      <c r="B80" s="152"/>
      <c r="C80" s="152"/>
      <c r="D80" s="152"/>
      <c r="E80" s="152"/>
      <c r="F80" s="152"/>
      <c r="G80" s="152"/>
      <c r="H80" s="153"/>
      <c r="I80" s="3"/>
      <c r="J80" s="3"/>
      <c r="K80" s="67"/>
      <c r="L80" s="67"/>
      <c r="M80" s="67"/>
      <c r="N80" s="67"/>
      <c r="O80" s="67"/>
      <c r="P80" s="67"/>
      <c r="Q80" s="5"/>
      <c r="R80" s="5"/>
      <c r="S80" s="5"/>
      <c r="T80" s="5"/>
      <c r="U80" s="68"/>
      <c r="V80" s="5"/>
      <c r="W80" s="5"/>
      <c r="X80" s="66"/>
      <c r="Y80" s="30"/>
      <c r="Z80" s="5"/>
      <c r="AA80" s="5"/>
    </row>
    <row r="81" spans="1:27" ht="14.25" customHeight="1">
      <c r="A81" s="69"/>
      <c r="B81" s="69"/>
      <c r="C81" s="69"/>
      <c r="D81" s="63"/>
      <c r="E81" s="63"/>
      <c r="F81" s="63"/>
      <c r="G81" s="63"/>
      <c r="H81" s="3"/>
      <c r="I81" s="3"/>
      <c r="J81" s="3"/>
      <c r="K81" s="67"/>
      <c r="L81" s="67"/>
      <c r="M81" s="67"/>
      <c r="N81" s="67"/>
      <c r="O81" s="67"/>
      <c r="P81" s="67"/>
      <c r="Q81" s="5"/>
      <c r="R81" s="5"/>
      <c r="S81" s="5"/>
      <c r="T81" s="5"/>
      <c r="U81" s="68"/>
      <c r="V81" s="5"/>
      <c r="W81" s="5"/>
      <c r="X81" s="66"/>
      <c r="Y81" s="30"/>
      <c r="Z81" s="5"/>
      <c r="AA81" s="5"/>
    </row>
    <row r="82" spans="1:27" ht="14.25" customHeight="1">
      <c r="A82" s="69"/>
      <c r="B82" s="69"/>
      <c r="C82" s="69"/>
      <c r="D82" s="63"/>
      <c r="E82" s="63"/>
      <c r="F82" s="63"/>
      <c r="G82" s="63"/>
      <c r="H82" s="3"/>
      <c r="I82" s="3"/>
      <c r="J82" s="3"/>
      <c r="K82" s="67"/>
      <c r="L82" s="67"/>
      <c r="M82" s="67"/>
      <c r="N82" s="67"/>
      <c r="O82" s="67"/>
      <c r="P82" s="67"/>
      <c r="Q82" s="5"/>
      <c r="R82" s="5"/>
      <c r="S82" s="5"/>
      <c r="T82" s="5"/>
      <c r="U82" s="68"/>
      <c r="V82" s="5"/>
      <c r="W82" s="5"/>
      <c r="X82" s="66"/>
      <c r="Y82" s="30"/>
      <c r="Z82" s="5"/>
      <c r="AA82" s="5"/>
    </row>
    <row r="83" spans="1:27" ht="14.25" customHeight="1">
      <c r="A83" s="70"/>
      <c r="B83" s="70"/>
      <c r="C83" s="70"/>
      <c r="D83" s="70"/>
      <c r="E83" s="70"/>
      <c r="F83" s="70"/>
      <c r="G83" s="63"/>
      <c r="H83" s="3"/>
      <c r="I83" s="3"/>
      <c r="J83" s="3"/>
      <c r="K83" s="67"/>
      <c r="L83" s="63"/>
      <c r="M83" s="63"/>
      <c r="N83" s="63"/>
      <c r="O83" s="63"/>
      <c r="P83" s="63"/>
      <c r="Q83" s="5"/>
      <c r="R83" s="5"/>
      <c r="S83" s="5"/>
      <c r="T83" s="5"/>
      <c r="U83" s="68"/>
      <c r="V83" s="5"/>
      <c r="W83" s="5"/>
      <c r="X83" s="63"/>
      <c r="Y83" s="5"/>
      <c r="Z83" s="5"/>
      <c r="AA83" s="5"/>
    </row>
    <row r="84" spans="1:27" ht="14.25" customHeight="1">
      <c r="A84" s="70"/>
      <c r="B84" s="70"/>
      <c r="C84" s="70"/>
      <c r="D84" s="70"/>
      <c r="E84" s="70"/>
      <c r="F84" s="70"/>
      <c r="G84" s="63"/>
      <c r="H84" s="3"/>
      <c r="I84" s="3"/>
      <c r="J84" s="3"/>
      <c r="K84" s="67"/>
      <c r="L84" s="63"/>
      <c r="M84" s="63"/>
      <c r="N84" s="63"/>
      <c r="O84" s="63"/>
      <c r="P84" s="63"/>
      <c r="Q84" s="5"/>
      <c r="R84" s="5"/>
      <c r="S84" s="5"/>
      <c r="T84" s="5"/>
      <c r="U84" s="5"/>
      <c r="V84" s="5"/>
      <c r="W84" s="5"/>
      <c r="X84" s="63"/>
      <c r="Y84" s="5"/>
      <c r="Z84" s="5"/>
      <c r="AA84" s="5"/>
    </row>
    <row r="85" spans="1:27" ht="15.75" customHeight="1">
      <c r="A85" s="70"/>
      <c r="B85" s="70"/>
      <c r="C85" s="70"/>
      <c r="D85" s="70"/>
      <c r="E85" s="70"/>
      <c r="F85" s="70"/>
      <c r="G85" s="63"/>
      <c r="H85" s="3"/>
      <c r="I85" s="3"/>
      <c r="J85" s="3"/>
      <c r="K85" s="63"/>
      <c r="L85" s="63"/>
      <c r="M85" s="63"/>
      <c r="N85" s="63"/>
      <c r="O85" s="63"/>
      <c r="P85" s="63"/>
      <c r="Q85" s="71" t="s">
        <v>34</v>
      </c>
      <c r="R85" s="71"/>
      <c r="S85" s="72"/>
      <c r="T85" s="71" t="s">
        <v>35</v>
      </c>
      <c r="U85" s="71"/>
      <c r="V85" s="66"/>
      <c r="W85" s="73" t="s">
        <v>129</v>
      </c>
      <c r="X85" s="63"/>
      <c r="Y85" s="5"/>
      <c r="Z85" s="5"/>
      <c r="AA85" s="5"/>
    </row>
    <row r="86" spans="1:27" ht="14.25" customHeight="1">
      <c r="A86" s="70"/>
      <c r="B86" s="70"/>
      <c r="C86" s="70"/>
      <c r="D86" s="70"/>
      <c r="E86" s="70"/>
      <c r="F86" s="70"/>
      <c r="G86" s="63"/>
      <c r="H86" s="3"/>
      <c r="I86" s="3"/>
      <c r="J86" s="3"/>
      <c r="K86" s="74"/>
      <c r="L86" s="74"/>
      <c r="M86" s="74"/>
      <c r="N86" s="74"/>
      <c r="O86" s="74"/>
      <c r="P86" s="74"/>
      <c r="Q86" s="75">
        <v>1</v>
      </c>
      <c r="R86" s="76"/>
      <c r="S86" s="66"/>
      <c r="T86" s="77">
        <v>1</v>
      </c>
      <c r="U86" s="76">
        <f>U17+U18+U20+U21+U24+U25+U27+U28+U29</f>
        <v>51155369.280000001</v>
      </c>
      <c r="V86" s="66"/>
      <c r="W86" s="78">
        <f t="shared" ref="W86:W88" si="15">U86-R86</f>
        <v>51155369.280000001</v>
      </c>
      <c r="X86" s="63"/>
      <c r="Y86" s="68"/>
      <c r="Z86" s="5"/>
      <c r="AA86" s="5"/>
    </row>
    <row r="87" spans="1:27" ht="14.25" customHeight="1">
      <c r="A87" s="1"/>
      <c r="B87" s="79"/>
      <c r="C87" s="79"/>
      <c r="D87" s="79"/>
      <c r="E87" s="1"/>
      <c r="F87" s="1"/>
      <c r="G87" s="1"/>
      <c r="H87" s="2"/>
      <c r="I87" s="2"/>
      <c r="J87" s="3"/>
      <c r="K87" s="80"/>
      <c r="L87" s="80"/>
      <c r="M87" s="80"/>
      <c r="N87" s="80"/>
      <c r="O87" s="80"/>
      <c r="P87" s="80"/>
      <c r="Q87" s="81">
        <v>3</v>
      </c>
      <c r="R87" s="82"/>
      <c r="S87" s="83"/>
      <c r="T87" s="84">
        <v>3</v>
      </c>
      <c r="U87" s="82">
        <f>U15+U16+U19+U22+U23+U26+U34+U36+U40+U43+U45+U46+U47+U50+U52+U53+U54+U55+U57+U59+U60+U61+U62+U63+U65+U67+U70+U71</f>
        <v>9896291.6699999981</v>
      </c>
      <c r="V87" s="85"/>
      <c r="W87" s="86">
        <f t="shared" si="15"/>
        <v>9896291.6699999981</v>
      </c>
      <c r="X87" s="1"/>
      <c r="Y87" s="68"/>
      <c r="Z87" s="5"/>
      <c r="AA87" s="5"/>
    </row>
    <row r="88" spans="1:27" ht="14.25" customHeight="1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87">
        <v>4</v>
      </c>
      <c r="R88" s="88"/>
      <c r="S88" s="83"/>
      <c r="T88" s="89">
        <v>4</v>
      </c>
      <c r="U88" s="88">
        <f>U33+U35+U37+U39+U41+U42+U44+U48+U49+U51+U56+U58+U64+U66+U68+U69</f>
        <v>0</v>
      </c>
      <c r="V88" s="90"/>
      <c r="W88" s="91">
        <f t="shared" si="15"/>
        <v>0</v>
      </c>
      <c r="X88" s="5"/>
      <c r="Y88" s="5"/>
      <c r="Z88" s="5"/>
      <c r="AA88" s="5"/>
    </row>
    <row r="89" spans="1:27" ht="14.25" customHeight="1">
      <c r="A89" s="5"/>
      <c r="B89" s="5"/>
      <c r="C89" s="5"/>
      <c r="D89" s="5"/>
      <c r="E89" s="5"/>
      <c r="F89" s="5"/>
      <c r="G89" s="5"/>
      <c r="H89" s="5"/>
      <c r="I89" s="5"/>
      <c r="J89" s="5"/>
      <c r="K89" s="154" t="s">
        <v>130</v>
      </c>
      <c r="L89" s="155"/>
      <c r="M89" s="155"/>
      <c r="N89" s="156"/>
      <c r="O89" s="5"/>
      <c r="P89" s="5"/>
      <c r="Q89" s="136" t="s">
        <v>131</v>
      </c>
      <c r="R89" s="137"/>
      <c r="S89" s="63"/>
      <c r="T89" s="138" t="s">
        <v>132</v>
      </c>
      <c r="U89" s="137"/>
      <c r="V89" s="90"/>
      <c r="W89" s="85"/>
      <c r="Y89" s="5"/>
      <c r="Z89" s="5"/>
      <c r="AA89" s="5"/>
    </row>
    <row r="90" spans="1:27" ht="14.25" customHeight="1">
      <c r="A90" s="5"/>
      <c r="B90" s="5"/>
      <c r="C90" s="5" t="s">
        <v>133</v>
      </c>
      <c r="D90" s="5"/>
      <c r="E90" s="5"/>
      <c r="F90" s="134" t="s">
        <v>134</v>
      </c>
      <c r="G90" s="135"/>
      <c r="H90" s="135"/>
      <c r="I90" s="135"/>
      <c r="J90" s="5"/>
      <c r="K90" s="92"/>
      <c r="L90" s="92"/>
      <c r="M90" s="92"/>
      <c r="N90" s="92"/>
      <c r="O90" s="5"/>
      <c r="P90" s="5"/>
      <c r="Q90" s="74"/>
      <c r="R90" s="74"/>
      <c r="S90" s="74"/>
      <c r="T90" s="13"/>
      <c r="U90" s="85"/>
      <c r="V90" s="90"/>
      <c r="W90" s="5"/>
      <c r="X90" s="5"/>
      <c r="Y90" s="5"/>
      <c r="Z90" s="5"/>
      <c r="AA90" s="5"/>
    </row>
    <row r="91" spans="1:27" ht="14.25" customHeight="1">
      <c r="A91" s="5"/>
      <c r="B91" s="5"/>
      <c r="C91" s="5" t="s">
        <v>135</v>
      </c>
      <c r="D91" s="5"/>
      <c r="E91" s="5"/>
      <c r="F91" s="5" t="s">
        <v>135</v>
      </c>
      <c r="G91" s="5"/>
      <c r="H91" s="5"/>
      <c r="I91" s="5"/>
      <c r="J91" s="5"/>
      <c r="K91" s="92"/>
      <c r="L91" s="92" t="s">
        <v>135</v>
      </c>
      <c r="M91" s="92"/>
      <c r="N91" s="92"/>
      <c r="O91" s="5"/>
      <c r="P91" s="5"/>
      <c r="Q91" s="80"/>
      <c r="R91" s="80"/>
      <c r="S91" s="80"/>
      <c r="T91" s="93" t="s">
        <v>136</v>
      </c>
      <c r="U91" s="94">
        <f>SUM(U86:U88)</f>
        <v>61051660.950000003</v>
      </c>
      <c r="V91" s="5"/>
      <c r="W91" s="68">
        <f>SUM(W86:W90)</f>
        <v>61051660.950000003</v>
      </c>
      <c r="X91" s="68"/>
      <c r="Y91" s="68"/>
      <c r="Z91" s="5"/>
      <c r="AA91" s="5"/>
    </row>
    <row r="92" spans="1:27" ht="14.25" customHeight="1">
      <c r="A92" s="5"/>
      <c r="B92" s="5"/>
      <c r="C92" s="5">
        <v>1</v>
      </c>
      <c r="D92" s="30">
        <f>W17+W18+W20+W21+W24+W25+W27+W28+W29</f>
        <v>51116525.25</v>
      </c>
      <c r="E92" s="5"/>
      <c r="F92" s="5">
        <v>1</v>
      </c>
      <c r="G92" s="30">
        <f>S17+S18+S20+S21+S24+S25+S27+S28+S29</f>
        <v>51194369.280000001</v>
      </c>
      <c r="H92" s="5"/>
      <c r="I92" s="5"/>
      <c r="J92" s="5"/>
      <c r="K92" s="95" t="s">
        <v>137</v>
      </c>
      <c r="L92" s="95">
        <v>1</v>
      </c>
      <c r="M92" s="96">
        <f>L17+L18+L20+L21+L24+L25+L27+L28+L29</f>
        <v>20346257.030000001</v>
      </c>
      <c r="N92" s="97">
        <f>M92-M93+Q73</f>
        <v>0</v>
      </c>
      <c r="O92" s="5"/>
      <c r="P92" s="5"/>
      <c r="Q92" s="5"/>
      <c r="R92" s="98"/>
      <c r="S92" s="5"/>
      <c r="T92" s="5"/>
      <c r="U92" s="5"/>
      <c r="V92" s="5"/>
      <c r="W92" s="5"/>
      <c r="X92" s="68"/>
      <c r="Y92" s="5"/>
      <c r="Z92" s="5"/>
      <c r="AA92" s="5"/>
    </row>
    <row r="93" spans="1:27" ht="14.25" customHeight="1">
      <c r="A93" s="5"/>
      <c r="B93" s="5"/>
      <c r="C93" s="5">
        <v>3</v>
      </c>
      <c r="D93" s="30">
        <f>W15+W16+W19+W22+W23+W26+W34+W36+W40+W43+W45+W46+W47+W50+W52+W53+W54+W55+W57+W59+W60+W61+W62+W63+W65+W67+W70+W71</f>
        <v>9285793.1799999997</v>
      </c>
      <c r="E93" s="5"/>
      <c r="F93" s="5">
        <v>3</v>
      </c>
      <c r="G93" s="30">
        <f>S15+S16+S19+S22+S23+S26+S34+S36+S40+S43+S45+S46+S47+S50+S52+S53+S54+S55+S57+S59+S60+S61+S62+S63+S65+S67+S70+S71</f>
        <v>47815482.549999997</v>
      </c>
      <c r="H93" s="5"/>
      <c r="I93" s="5"/>
      <c r="J93" s="5"/>
      <c r="K93" s="92" t="s">
        <v>138</v>
      </c>
      <c r="L93" s="92">
        <v>1</v>
      </c>
      <c r="M93" s="99">
        <f>M17+M18+M20+M21+M24+M25+M27+M28+M29</f>
        <v>20346257.030000001</v>
      </c>
      <c r="N93" s="92"/>
      <c r="O93" s="5"/>
      <c r="P93" s="5"/>
      <c r="Q93" s="5"/>
      <c r="R93" s="98"/>
      <c r="S93" s="5"/>
      <c r="T93" s="5"/>
      <c r="U93" s="5"/>
      <c r="V93" s="5"/>
      <c r="W93" s="5"/>
      <c r="X93" s="68"/>
      <c r="Y93" s="68"/>
      <c r="Z93" s="5"/>
      <c r="AA93" s="5"/>
    </row>
    <row r="94" spans="1:27" ht="14.25" customHeight="1">
      <c r="A94" s="5"/>
      <c r="B94" s="5"/>
      <c r="C94" s="5">
        <v>4</v>
      </c>
      <c r="D94" s="100">
        <f>W33+W35+W37+W39+W41+W42+W44+W48+W49+W51+W56+W58+W64+W66+W68+W69</f>
        <v>0</v>
      </c>
      <c r="E94" s="5"/>
      <c r="F94" s="5">
        <v>4</v>
      </c>
      <c r="G94" s="30">
        <f>S33+S35+S37+S39+S41+S42+S44+S48+S49+S51+S56+S58+S64+S66+S68+S69</f>
        <v>2093387.59</v>
      </c>
      <c r="H94" s="5"/>
      <c r="I94" s="5"/>
      <c r="J94" s="5"/>
      <c r="K94" s="92"/>
      <c r="L94" s="92"/>
      <c r="M94" s="92"/>
      <c r="N94" s="92"/>
      <c r="O94" s="5"/>
      <c r="P94" s="5"/>
      <c r="Q94" s="5"/>
      <c r="R94" s="98"/>
      <c r="S94" s="5"/>
      <c r="T94" s="101" t="s">
        <v>139</v>
      </c>
      <c r="U94" s="102">
        <f>U15+U16+U19+U22+U23+U26</f>
        <v>9285793.1799999997</v>
      </c>
      <c r="V94" s="5"/>
      <c r="W94" s="68"/>
      <c r="X94" s="68"/>
      <c r="Y94" s="5"/>
      <c r="Z94" s="5"/>
      <c r="AA94" s="5"/>
    </row>
    <row r="95" spans="1:27" ht="14.25" customHeight="1">
      <c r="A95" s="5"/>
      <c r="B95" s="5"/>
      <c r="C95" s="5"/>
      <c r="D95" s="5"/>
      <c r="E95" s="5"/>
      <c r="F95" s="5"/>
      <c r="G95" s="5"/>
      <c r="H95" s="5"/>
      <c r="I95" s="5"/>
      <c r="J95" s="5"/>
      <c r="K95" s="92"/>
      <c r="L95" s="92"/>
      <c r="M95" s="97">
        <f>M92-M93</f>
        <v>0</v>
      </c>
      <c r="N95" s="92"/>
      <c r="O95" s="5"/>
      <c r="P95" s="5"/>
      <c r="Q95" s="5"/>
      <c r="R95" s="5"/>
      <c r="S95" s="5"/>
      <c r="T95" s="101" t="s">
        <v>140</v>
      </c>
      <c r="U95" s="102">
        <f>U40+U42+U47+U48+U50+U53+U55+U56+U57+U60</f>
        <v>37015.29</v>
      </c>
      <c r="V95" s="68"/>
      <c r="W95" s="68"/>
      <c r="X95" s="68"/>
      <c r="Y95" s="5"/>
      <c r="Z95" s="5"/>
      <c r="AA95" s="5"/>
    </row>
    <row r="96" spans="1:27" ht="14.25" customHeight="1">
      <c r="A96" s="5"/>
      <c r="B96" s="5"/>
      <c r="C96" s="5"/>
      <c r="D96" s="5"/>
      <c r="E96" s="5"/>
      <c r="F96" s="5"/>
      <c r="G96" s="5"/>
      <c r="H96" s="5"/>
      <c r="I96" s="5"/>
      <c r="J96" s="5"/>
      <c r="K96" s="92"/>
      <c r="L96" s="92"/>
      <c r="M96" s="92"/>
      <c r="N96" s="92"/>
      <c r="O96" s="5"/>
      <c r="P96" s="5"/>
      <c r="Q96" s="5"/>
      <c r="R96" s="5"/>
      <c r="S96" s="5"/>
      <c r="T96" s="101" t="s">
        <v>136</v>
      </c>
      <c r="U96" s="102">
        <f>U94+U95</f>
        <v>9322808.4699999988</v>
      </c>
      <c r="V96" s="68"/>
      <c r="W96" s="68"/>
      <c r="X96" s="68"/>
      <c r="Y96" s="5"/>
      <c r="Z96" s="5"/>
      <c r="AA96" s="5"/>
    </row>
    <row r="97" spans="1:27" ht="14.25" customHeight="1">
      <c r="A97" s="5"/>
      <c r="B97" s="5"/>
      <c r="C97" s="5"/>
      <c r="D97" s="5"/>
      <c r="E97" s="5"/>
      <c r="F97" s="5"/>
      <c r="G97" s="5"/>
      <c r="H97" s="5"/>
      <c r="I97" s="5"/>
      <c r="J97" s="5"/>
      <c r="K97" s="92"/>
      <c r="L97" s="92" t="s">
        <v>141</v>
      </c>
      <c r="M97" s="92"/>
      <c r="N97" s="92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</row>
    <row r="98" spans="1:27" ht="14.25" customHeight="1">
      <c r="A98" s="5"/>
      <c r="B98" s="5"/>
      <c r="C98" s="5"/>
      <c r="D98" s="5"/>
      <c r="E98" s="5"/>
      <c r="F98" s="5"/>
      <c r="G98" s="5"/>
      <c r="H98" s="5"/>
      <c r="I98" s="5"/>
      <c r="J98" s="5"/>
      <c r="K98" s="95" t="s">
        <v>137</v>
      </c>
      <c r="L98" s="95">
        <v>3</v>
      </c>
      <c r="M98" s="96">
        <f>L15+L16+L19+L22+L23+L26+L34+L36+L40+L43+L45+L46+L47+L50+L52+L53+L54+L55+L57+L59+L60+L61+L62+L63+L65+L67+L70+L71</f>
        <v>4916890.21</v>
      </c>
      <c r="N98" s="97">
        <f>M98-M99</f>
        <v>488484.10000000056</v>
      </c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</row>
    <row r="99" spans="1:27" ht="14.25" customHeight="1">
      <c r="A99" s="5"/>
      <c r="B99" s="5"/>
      <c r="C99" s="5"/>
      <c r="D99" s="5"/>
      <c r="E99" s="5"/>
      <c r="F99" s="5"/>
      <c r="G99" s="5"/>
      <c r="H99" s="5"/>
      <c r="I99" s="5"/>
      <c r="J99" s="5"/>
      <c r="K99" s="92" t="s">
        <v>142</v>
      </c>
      <c r="L99" s="92">
        <v>3</v>
      </c>
      <c r="M99" s="99">
        <f>M15+M16+M19+M22+M23+M26+M34+M36+M40+M43+M45+M46+M47+M50+M52+M53+M54+M55+M57+M59+M60+M61+M62+M63+M65+M67+M70+M71</f>
        <v>4428406.1099999994</v>
      </c>
      <c r="N99" s="92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</row>
    <row r="100" spans="1:27" ht="14.25" customHeight="1">
      <c r="A100" s="5"/>
      <c r="B100" s="5"/>
      <c r="C100" s="5"/>
      <c r="D100" s="68"/>
      <c r="E100" s="5"/>
      <c r="F100" s="5"/>
      <c r="G100" s="5"/>
      <c r="H100" s="5"/>
      <c r="I100" s="5"/>
      <c r="J100" s="5"/>
      <c r="K100" s="92"/>
      <c r="L100" s="92"/>
      <c r="M100" s="92"/>
      <c r="N100" s="92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</row>
    <row r="101" spans="1:27" ht="14.25" customHeight="1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92"/>
      <c r="L101" s="92"/>
      <c r="M101" s="97">
        <f>M98-M99</f>
        <v>488484.10000000056</v>
      </c>
      <c r="N101" s="92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</row>
    <row r="102" spans="1:27" ht="14.25" customHeight="1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92"/>
      <c r="L102" s="92"/>
      <c r="M102" s="92"/>
      <c r="N102" s="92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</row>
    <row r="103" spans="1:27" ht="14.25" customHeight="1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92"/>
      <c r="L103" s="92" t="s">
        <v>135</v>
      </c>
      <c r="M103" s="92"/>
      <c r="N103" s="92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</row>
    <row r="104" spans="1:27" ht="14.25" customHeight="1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95" t="s">
        <v>143</v>
      </c>
      <c r="L104" s="95">
        <v>4</v>
      </c>
      <c r="M104" s="96">
        <f>L33+L35+L37+L39+L41+L42+L44+L48+L49+L51+L56+L58+L64+L66+L68+L69</f>
        <v>559620</v>
      </c>
      <c r="N104" s="97">
        <f>M104-M105</f>
        <v>-1350000</v>
      </c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</row>
    <row r="105" spans="1:27" ht="14.25" customHeight="1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92" t="s">
        <v>144</v>
      </c>
      <c r="L105" s="92">
        <v>4</v>
      </c>
      <c r="M105" s="99">
        <f>M33+M35+M37+M39+M41+M42+M44+M48+M49+M51+M56+M58+M64+M66+M68+M69</f>
        <v>1909620</v>
      </c>
      <c r="N105" s="92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</row>
    <row r="106" spans="1:27" ht="14.25" customHeight="1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92"/>
      <c r="L106" s="92"/>
      <c r="M106" s="92"/>
      <c r="N106" s="97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</row>
    <row r="107" spans="1:27" ht="14.25" customHeight="1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68">
        <f>M104-M105</f>
        <v>-1350000</v>
      </c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</row>
    <row r="108" spans="1:27" ht="14.25" customHeight="1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68">
        <f>N92+N98+N104</f>
        <v>-861515.89999999944</v>
      </c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</row>
    <row r="109" spans="1:27" ht="14.25" customHeight="1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</row>
    <row r="110" spans="1:27" ht="14.25" customHeight="1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</row>
    <row r="111" spans="1:27" ht="14.25" customHeight="1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</row>
    <row r="112" spans="1:27" ht="14.25" customHeight="1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</row>
    <row r="113" spans="1:27" ht="14.25" customHeight="1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</row>
    <row r="114" spans="1:27" ht="14.25" customHeight="1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</row>
    <row r="115" spans="1:27" ht="14.25" customHeight="1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</row>
    <row r="116" spans="1:27" ht="14.25" customHeight="1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</row>
    <row r="117" spans="1:27" ht="14.25" customHeight="1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</row>
    <row r="118" spans="1:27" ht="14.25" customHeight="1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</row>
    <row r="119" spans="1:27" ht="14.25" customHeight="1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</row>
    <row r="120" spans="1:27" ht="14.25" customHeight="1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</row>
    <row r="121" spans="1:27" ht="14.25" customHeight="1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</row>
    <row r="122" spans="1:27" ht="14.25" customHeight="1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</row>
    <row r="123" spans="1:27" ht="14.25" customHeight="1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</row>
    <row r="124" spans="1:27" ht="14.25" customHeight="1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</row>
    <row r="125" spans="1:27" ht="14.25" customHeight="1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</row>
    <row r="126" spans="1:27" ht="14.25" customHeight="1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</row>
    <row r="127" spans="1:27" ht="14.25" customHeight="1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</row>
    <row r="128" spans="1:27" ht="14.25" customHeight="1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</row>
    <row r="129" spans="1:27" ht="14.25" customHeight="1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</row>
    <row r="130" spans="1:27" ht="14.25" customHeight="1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</row>
    <row r="131" spans="1:27" ht="14.25" customHeight="1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</row>
    <row r="132" spans="1:27" ht="14.25" customHeight="1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</row>
    <row r="133" spans="1:27" ht="14.25" customHeight="1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</row>
    <row r="134" spans="1:27" ht="14.25" customHeight="1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</row>
    <row r="135" spans="1:27" ht="14.25" customHeight="1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</row>
    <row r="136" spans="1:27" ht="14.25" customHeight="1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</row>
    <row r="137" spans="1:27" ht="14.25" customHeight="1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</row>
    <row r="138" spans="1:27" ht="14.25" customHeight="1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</row>
    <row r="139" spans="1:27" ht="14.25" customHeight="1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</row>
    <row r="140" spans="1:27" ht="14.25" customHeight="1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</row>
    <row r="141" spans="1:27" ht="14.25" customHeight="1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</row>
    <row r="142" spans="1:27" ht="14.25" customHeight="1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</row>
    <row r="143" spans="1:27" ht="14.25" customHeight="1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</row>
    <row r="144" spans="1:27" ht="14.25" customHeight="1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</row>
    <row r="145" spans="1:27" ht="14.25" customHeight="1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</row>
    <row r="146" spans="1:27" ht="14.25" customHeight="1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</row>
    <row r="147" spans="1:27" ht="14.25" customHeight="1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</row>
    <row r="148" spans="1:27" ht="14.25" customHeight="1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</row>
    <row r="149" spans="1:27" ht="14.25" customHeight="1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</row>
    <row r="150" spans="1:27" ht="14.25" customHeight="1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</row>
    <row r="151" spans="1:27" ht="14.25" customHeight="1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</row>
    <row r="152" spans="1:27" ht="14.25" customHeight="1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</row>
    <row r="153" spans="1:27" ht="14.25" customHeight="1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</row>
    <row r="154" spans="1:27" ht="14.25" customHeight="1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</row>
    <row r="155" spans="1:27" ht="14.25" customHeight="1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</row>
    <row r="156" spans="1:27" ht="14.25" customHeight="1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</row>
    <row r="157" spans="1:27" ht="14.25" customHeight="1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</row>
    <row r="158" spans="1:27" ht="14.25" customHeight="1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</row>
    <row r="159" spans="1:27" ht="14.25" customHeight="1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</row>
    <row r="160" spans="1:27" ht="14.25" customHeight="1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</row>
    <row r="161" spans="1:27" ht="14.25" customHeight="1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</row>
    <row r="162" spans="1:27" ht="14.25" customHeight="1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</row>
    <row r="163" spans="1:27" ht="14.25" customHeight="1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</row>
    <row r="164" spans="1:27" ht="14.25" customHeight="1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</row>
    <row r="165" spans="1:27" ht="14.25" customHeight="1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</row>
    <row r="166" spans="1:27" ht="14.25" customHeight="1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</row>
    <row r="167" spans="1:27" ht="14.25" customHeight="1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</row>
    <row r="168" spans="1:27" ht="14.25" customHeight="1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</row>
    <row r="169" spans="1:27" ht="14.25" customHeight="1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</row>
    <row r="170" spans="1:27" ht="14.25" customHeight="1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</row>
    <row r="171" spans="1:27" ht="14.25" customHeight="1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</row>
    <row r="172" spans="1:27" ht="14.25" customHeight="1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</row>
    <row r="173" spans="1:27" ht="14.25" customHeight="1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</row>
    <row r="174" spans="1:27" ht="14.25" customHeight="1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</row>
    <row r="175" spans="1:27" ht="14.25" customHeight="1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</row>
    <row r="176" spans="1:27" ht="14.25" customHeight="1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</row>
    <row r="177" spans="1:27" ht="14.25" customHeight="1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</row>
    <row r="178" spans="1:27" ht="14.25" customHeight="1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</row>
    <row r="179" spans="1:27" ht="14.25" customHeight="1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</row>
    <row r="180" spans="1:27" ht="14.25" customHeight="1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</row>
    <row r="181" spans="1:27" ht="14.25" customHeight="1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</row>
    <row r="182" spans="1:27" ht="14.25" customHeight="1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</row>
    <row r="183" spans="1:27" ht="14.25" customHeight="1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</row>
    <row r="184" spans="1:27" ht="14.25" customHeight="1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</row>
    <row r="185" spans="1:27" ht="14.25" customHeight="1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</row>
    <row r="186" spans="1:27" ht="14.25" customHeight="1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</row>
    <row r="187" spans="1:27" ht="14.25" customHeight="1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</row>
    <row r="188" spans="1:27" ht="14.25" customHeight="1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</row>
    <row r="189" spans="1:27" ht="14.25" customHeight="1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</row>
    <row r="190" spans="1:27" ht="14.25" customHeight="1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</row>
    <row r="191" spans="1:27" ht="14.25" customHeight="1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</row>
    <row r="192" spans="1:27" ht="14.25" customHeight="1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</row>
    <row r="193" spans="1:27" ht="14.25" customHeight="1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</row>
    <row r="194" spans="1:27" ht="14.25" customHeight="1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</row>
    <row r="195" spans="1:27" ht="14.25" customHeight="1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</row>
    <row r="196" spans="1:27" ht="14.25" customHeight="1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</row>
    <row r="197" spans="1:27" ht="14.25" customHeight="1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</row>
    <row r="198" spans="1:27" ht="14.25" customHeight="1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</row>
    <row r="199" spans="1:27" ht="14.25" customHeight="1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</row>
    <row r="200" spans="1:27" ht="14.25" customHeight="1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</row>
    <row r="201" spans="1:27" ht="14.25" customHeight="1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</row>
    <row r="202" spans="1:27" ht="14.25" customHeight="1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</row>
    <row r="203" spans="1:27" ht="14.25" customHeight="1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</row>
    <row r="204" spans="1:27" ht="14.25" customHeight="1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</row>
    <row r="205" spans="1:27" ht="14.25" customHeight="1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</row>
    <row r="206" spans="1:27" ht="14.25" customHeight="1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</row>
    <row r="207" spans="1:27" ht="14.25" customHeight="1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</row>
    <row r="208" spans="1:27" ht="14.25" customHeight="1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</row>
    <row r="209" spans="1:27" ht="14.25" customHeight="1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</row>
    <row r="210" spans="1:27" ht="14.25" customHeight="1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</row>
    <row r="211" spans="1:27" ht="14.25" customHeight="1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</row>
    <row r="212" spans="1:27" ht="14.25" customHeight="1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</row>
    <row r="213" spans="1:27" ht="14.25" customHeight="1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</row>
    <row r="214" spans="1:27" ht="14.25" customHeight="1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</row>
    <row r="215" spans="1:27" ht="14.25" customHeight="1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</row>
    <row r="216" spans="1:27" ht="14.25" customHeight="1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</row>
    <row r="217" spans="1:27" ht="14.25" customHeight="1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</row>
    <row r="218" spans="1:27" ht="14.25" customHeight="1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</row>
    <row r="219" spans="1:27" ht="14.25" customHeight="1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</row>
    <row r="220" spans="1:27" ht="14.25" customHeight="1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</row>
    <row r="221" spans="1:27" ht="14.25" customHeight="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</row>
    <row r="222" spans="1:27" ht="14.25" customHeight="1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</row>
    <row r="223" spans="1:27" ht="14.25" customHeight="1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</row>
    <row r="224" spans="1:27" ht="14.25" customHeight="1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</row>
    <row r="225" spans="1:27" ht="14.25" customHeight="1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</row>
    <row r="226" spans="1:27" ht="14.25" customHeight="1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</row>
    <row r="227" spans="1:27" ht="14.25" customHeight="1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</row>
    <row r="228" spans="1:27" ht="14.25" customHeight="1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</row>
    <row r="229" spans="1:27" ht="14.25" customHeight="1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</row>
    <row r="230" spans="1:27" ht="14.25" customHeight="1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</row>
    <row r="231" spans="1:27" ht="14.25" customHeight="1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</row>
    <row r="232" spans="1:27" ht="14.25" customHeight="1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</row>
    <row r="233" spans="1:27" ht="14.25" customHeight="1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</row>
    <row r="234" spans="1:27" ht="14.25" customHeight="1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</row>
    <row r="235" spans="1:27" ht="14.25" customHeight="1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</row>
    <row r="236" spans="1:27" ht="14.25" customHeight="1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</row>
    <row r="237" spans="1:27" ht="14.25" customHeight="1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</row>
    <row r="238" spans="1:27" ht="14.25" customHeight="1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</row>
    <row r="239" spans="1:27" ht="14.25" customHeight="1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</row>
    <row r="240" spans="1:27" ht="14.25" customHeight="1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</row>
    <row r="241" spans="1:27" ht="14.25" customHeight="1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</row>
    <row r="242" spans="1:27" ht="14.25" customHeight="1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</row>
    <row r="243" spans="1:27" ht="14.25" customHeight="1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</row>
    <row r="244" spans="1:27" ht="14.25" customHeight="1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</row>
    <row r="245" spans="1:27" ht="14.25" customHeight="1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</row>
    <row r="246" spans="1:27" ht="14.25" customHeight="1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</row>
    <row r="247" spans="1:27" ht="14.25" customHeight="1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</row>
    <row r="248" spans="1:27" ht="14.25" customHeight="1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</row>
    <row r="249" spans="1:27" ht="14.25" customHeight="1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</row>
    <row r="250" spans="1:27" ht="14.25" customHeight="1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</row>
    <row r="251" spans="1:27" ht="14.25" customHeight="1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</row>
    <row r="252" spans="1:27" ht="14.25" customHeight="1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</row>
    <row r="253" spans="1:27" ht="14.25" customHeight="1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</row>
    <row r="254" spans="1:27" ht="14.25" customHeight="1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</row>
    <row r="255" spans="1:27" ht="14.25" customHeight="1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</row>
    <row r="256" spans="1:27" ht="14.25" customHeight="1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</row>
    <row r="257" spans="1:27" ht="14.25" customHeight="1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</row>
    <row r="258" spans="1:27" ht="14.25" customHeight="1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</row>
    <row r="259" spans="1:27" ht="14.25" customHeight="1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</row>
    <row r="260" spans="1:27" ht="14.25" customHeight="1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</row>
    <row r="261" spans="1:27" ht="14.25" customHeight="1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</row>
    <row r="262" spans="1:27" ht="14.25" customHeight="1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</row>
    <row r="263" spans="1:27" ht="14.25" customHeight="1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</row>
    <row r="264" spans="1:27" ht="14.25" customHeight="1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</row>
    <row r="265" spans="1:27" ht="14.25" customHeight="1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</row>
    <row r="266" spans="1:27" ht="14.25" customHeight="1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</row>
    <row r="267" spans="1:27" ht="14.25" customHeight="1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</row>
    <row r="268" spans="1:27" ht="14.25" customHeight="1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</row>
    <row r="269" spans="1:27" ht="14.25" customHeight="1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</row>
    <row r="270" spans="1:27" ht="14.25" customHeight="1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</row>
    <row r="271" spans="1:27" ht="14.25" customHeight="1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</row>
    <row r="272" spans="1:27" ht="14.25" customHeight="1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</row>
    <row r="273" spans="1:27" ht="14.25" customHeight="1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</row>
    <row r="274" spans="1:27" ht="14.25" customHeight="1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</row>
    <row r="275" spans="1:27" ht="14.25" customHeight="1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</row>
    <row r="276" spans="1:27" ht="14.25" customHeight="1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</row>
    <row r="277" spans="1:27" ht="14.25" customHeight="1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</row>
    <row r="278" spans="1:27" ht="14.25" customHeight="1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</row>
    <row r="279" spans="1:27" ht="14.25" customHeight="1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</row>
    <row r="280" spans="1:27" ht="14.25" customHeight="1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</row>
    <row r="281" spans="1:27" ht="14.25" customHeight="1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</row>
    <row r="282" spans="1:27" ht="14.25" customHeight="1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</row>
    <row r="283" spans="1:27" ht="14.25" customHeight="1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</row>
    <row r="284" spans="1:27" ht="14.25" customHeight="1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</row>
    <row r="285" spans="1:27" ht="14.25" customHeight="1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</row>
    <row r="286" spans="1:27" ht="14.25" customHeight="1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</row>
    <row r="287" spans="1:27" ht="14.25" customHeight="1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</row>
    <row r="288" spans="1:27" ht="14.25" customHeight="1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</row>
    <row r="289" spans="1:27" ht="14.25" customHeight="1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</row>
    <row r="290" spans="1:27" ht="14.25" customHeight="1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</row>
    <row r="291" spans="1:27" ht="14.25" customHeight="1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</row>
    <row r="292" spans="1:27" ht="14.25" customHeight="1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</row>
    <row r="293" spans="1:27" ht="14.25" customHeight="1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</row>
    <row r="294" spans="1:27" ht="14.25" customHeight="1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</row>
    <row r="295" spans="1:27" ht="14.25" customHeight="1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</row>
    <row r="296" spans="1:27" ht="14.25" customHeight="1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</row>
    <row r="297" spans="1:27" ht="14.25" customHeight="1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</row>
    <row r="298" spans="1:27" ht="14.25" customHeight="1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</row>
    <row r="299" spans="1:27" ht="14.25" customHeight="1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</row>
    <row r="300" spans="1:27" ht="14.25" customHeight="1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</row>
    <row r="301" spans="1:27" ht="14.25" customHeight="1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</row>
    <row r="302" spans="1:27" ht="14.25" customHeight="1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</row>
    <row r="303" spans="1:27" ht="14.25" customHeight="1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</row>
    <row r="304" spans="1:27" ht="14.25" customHeight="1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</row>
    <row r="305" spans="1:27" ht="14.25" customHeight="1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</row>
    <row r="306" spans="1:27" ht="14.25" customHeight="1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</row>
    <row r="307" spans="1:27" ht="14.25" customHeight="1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</row>
    <row r="308" spans="1:27" ht="14.25" customHeight="1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</row>
    <row r="309" spans="1:27" ht="14.25" customHeight="1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</row>
    <row r="310" spans="1:27" ht="14.25" customHeight="1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</row>
    <row r="311" spans="1:27" ht="14.25" customHeight="1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</row>
    <row r="312" spans="1:27" ht="14.25" customHeight="1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</row>
    <row r="313" spans="1:27" ht="14.25" customHeight="1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</row>
    <row r="314" spans="1:27" ht="14.25" customHeight="1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</row>
    <row r="315" spans="1:27" ht="14.25" customHeight="1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</row>
    <row r="316" spans="1:27" ht="14.25" customHeight="1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</row>
    <row r="317" spans="1:27" ht="14.25" customHeight="1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</row>
    <row r="318" spans="1:27" ht="14.25" customHeight="1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</row>
    <row r="319" spans="1:27" ht="14.25" customHeight="1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</row>
    <row r="320" spans="1:27" ht="14.25" customHeight="1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</row>
    <row r="321" spans="1:27" ht="14.25" customHeight="1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</row>
    <row r="322" spans="1:27" ht="14.25" customHeight="1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</row>
    <row r="323" spans="1:27" ht="14.25" customHeight="1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</row>
    <row r="324" spans="1:27" ht="14.25" customHeight="1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</row>
    <row r="325" spans="1:27" ht="14.25" customHeight="1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</row>
    <row r="326" spans="1:27" ht="14.25" customHeight="1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</row>
    <row r="327" spans="1:27" ht="14.25" customHeight="1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</row>
    <row r="328" spans="1:27" ht="14.25" customHeight="1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</row>
    <row r="329" spans="1:27" ht="14.25" customHeight="1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</row>
    <row r="330" spans="1:27" ht="14.25" customHeight="1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</row>
    <row r="331" spans="1:27" ht="14.25" customHeight="1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</row>
    <row r="332" spans="1:27" ht="14.25" customHeight="1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</row>
    <row r="333" spans="1:27" ht="14.25" customHeight="1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</row>
    <row r="334" spans="1:27" ht="14.25" customHeight="1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</row>
    <row r="335" spans="1:27" ht="14.25" customHeight="1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</row>
    <row r="336" spans="1:27" ht="14.25" customHeight="1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</row>
    <row r="337" spans="1:27" ht="14.25" customHeight="1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</row>
    <row r="338" spans="1:27" ht="14.25" customHeight="1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</row>
    <row r="339" spans="1:27" ht="14.25" customHeight="1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</row>
    <row r="340" spans="1:27" ht="14.25" customHeight="1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</row>
    <row r="341" spans="1:27" ht="14.25" customHeight="1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</row>
    <row r="342" spans="1:27" ht="14.25" customHeight="1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</row>
    <row r="343" spans="1:27" ht="14.25" customHeight="1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</row>
    <row r="344" spans="1:27" ht="14.25" customHeight="1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</row>
    <row r="345" spans="1:27" ht="14.25" customHeight="1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</row>
    <row r="346" spans="1:27" ht="14.25" customHeight="1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</row>
    <row r="347" spans="1:27" ht="14.25" customHeight="1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</row>
    <row r="348" spans="1:27" ht="14.25" customHeight="1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</row>
    <row r="349" spans="1:27" ht="14.25" customHeight="1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</row>
    <row r="350" spans="1:27" ht="14.25" customHeight="1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</row>
    <row r="351" spans="1:27" ht="14.25" customHeight="1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</row>
    <row r="352" spans="1:27" ht="14.25" customHeight="1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</row>
    <row r="353" spans="1:27" ht="14.25" customHeight="1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</row>
    <row r="354" spans="1:27" ht="14.25" customHeight="1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</row>
    <row r="355" spans="1:27" ht="14.25" customHeight="1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</row>
    <row r="356" spans="1:27" ht="14.25" customHeight="1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</row>
    <row r="357" spans="1:27" ht="14.25" customHeight="1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</row>
    <row r="358" spans="1:27" ht="14.25" customHeight="1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</row>
    <row r="359" spans="1:27" ht="14.25" customHeight="1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</row>
    <row r="360" spans="1:27" ht="14.25" customHeight="1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</row>
    <row r="361" spans="1:27" ht="14.25" customHeight="1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</row>
    <row r="362" spans="1:27" ht="14.25" customHeight="1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</row>
    <row r="363" spans="1:27" ht="14.25" customHeight="1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</row>
    <row r="364" spans="1:27" ht="14.25" customHeight="1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</row>
    <row r="365" spans="1:27" ht="14.25" customHeight="1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</row>
    <row r="366" spans="1:27" ht="14.25" customHeight="1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</row>
    <row r="367" spans="1:27" ht="14.25" customHeight="1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</row>
    <row r="368" spans="1:27" ht="14.25" customHeight="1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</row>
    <row r="369" spans="1:27" ht="14.25" customHeight="1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</row>
    <row r="370" spans="1:27" ht="14.25" customHeight="1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</row>
    <row r="371" spans="1:27" ht="14.25" customHeight="1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</row>
    <row r="372" spans="1:27" ht="14.25" customHeight="1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</row>
    <row r="373" spans="1:27" ht="14.25" customHeight="1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</row>
    <row r="374" spans="1:27" ht="14.25" customHeight="1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</row>
    <row r="375" spans="1:27" ht="14.25" customHeight="1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</row>
    <row r="376" spans="1:27" ht="14.25" customHeight="1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</row>
    <row r="377" spans="1:27" ht="14.25" customHeight="1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</row>
    <row r="378" spans="1:27" ht="14.25" customHeight="1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</row>
    <row r="379" spans="1:27" ht="14.25" customHeight="1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</row>
    <row r="380" spans="1:27" ht="14.25" customHeight="1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</row>
    <row r="381" spans="1:27" ht="14.25" customHeight="1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</row>
    <row r="382" spans="1:27" ht="14.25" customHeight="1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</row>
    <row r="383" spans="1:27" ht="14.25" customHeight="1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</row>
    <row r="384" spans="1:27" ht="14.25" customHeight="1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</row>
    <row r="385" spans="1:27" ht="14.25" customHeight="1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</row>
    <row r="386" spans="1:27" ht="14.25" customHeight="1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</row>
    <row r="387" spans="1:27" ht="14.25" customHeight="1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</row>
    <row r="388" spans="1:27" ht="14.25" customHeight="1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</row>
    <row r="389" spans="1:27" ht="14.25" customHeight="1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</row>
    <row r="390" spans="1:27" ht="14.25" customHeight="1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</row>
    <row r="391" spans="1:27" ht="14.25" customHeight="1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</row>
    <row r="392" spans="1:27" ht="14.25" customHeight="1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</row>
    <row r="393" spans="1:27" ht="14.25" customHeight="1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</row>
    <row r="394" spans="1:27" ht="14.25" customHeight="1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</row>
    <row r="395" spans="1:27" ht="14.25" customHeight="1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</row>
    <row r="396" spans="1:27" ht="14.25" customHeight="1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</row>
    <row r="397" spans="1:27" ht="14.25" customHeight="1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</row>
    <row r="398" spans="1:27" ht="14.25" customHeight="1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</row>
    <row r="399" spans="1:27" ht="14.25" customHeight="1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</row>
    <row r="400" spans="1:27" ht="14.25" customHeight="1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</row>
    <row r="401" spans="1:27" ht="14.25" customHeight="1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</row>
    <row r="402" spans="1:27" ht="14.25" customHeight="1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</row>
    <row r="403" spans="1:27" ht="14.25" customHeight="1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</row>
    <row r="404" spans="1:27" ht="14.25" customHeight="1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</row>
    <row r="405" spans="1:27" ht="14.25" customHeight="1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</row>
    <row r="406" spans="1:27" ht="14.25" customHeight="1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</row>
    <row r="407" spans="1:27" ht="14.25" customHeight="1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</row>
    <row r="408" spans="1:27" ht="14.25" customHeight="1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</row>
    <row r="409" spans="1:27" ht="14.25" customHeight="1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</row>
    <row r="410" spans="1:27" ht="14.25" customHeight="1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</row>
    <row r="411" spans="1:27" ht="14.25" customHeight="1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</row>
    <row r="412" spans="1:27" ht="14.25" customHeight="1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</row>
    <row r="413" spans="1:27" ht="14.25" customHeight="1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</row>
    <row r="414" spans="1:27" ht="14.25" customHeight="1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</row>
    <row r="415" spans="1:27" ht="14.25" customHeight="1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</row>
    <row r="416" spans="1:27" ht="14.25" customHeight="1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</row>
    <row r="417" spans="1:27" ht="14.25" customHeight="1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</row>
    <row r="418" spans="1:27" ht="14.25" customHeight="1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</row>
    <row r="419" spans="1:27" ht="14.25" customHeight="1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</row>
    <row r="420" spans="1:27" ht="14.25" customHeight="1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</row>
    <row r="421" spans="1:27" ht="14.25" customHeight="1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</row>
    <row r="422" spans="1:27" ht="14.25" customHeight="1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</row>
    <row r="423" spans="1:27" ht="14.25" customHeight="1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</row>
    <row r="424" spans="1:27" ht="14.25" customHeight="1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</row>
    <row r="425" spans="1:27" ht="14.25" customHeight="1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</row>
    <row r="426" spans="1:27" ht="14.25" customHeight="1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</row>
    <row r="427" spans="1:27" ht="14.25" customHeight="1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</row>
    <row r="428" spans="1:27" ht="14.25" customHeight="1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</row>
    <row r="429" spans="1:27" ht="14.25" customHeight="1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</row>
    <row r="430" spans="1:27" ht="14.25" customHeight="1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</row>
    <row r="431" spans="1:27" ht="14.25" customHeight="1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</row>
    <row r="432" spans="1:27" ht="14.25" customHeight="1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</row>
    <row r="433" spans="1:27" ht="14.25" customHeight="1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</row>
    <row r="434" spans="1:27" ht="14.25" customHeight="1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</row>
    <row r="435" spans="1:27" ht="14.25" customHeight="1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</row>
    <row r="436" spans="1:27" ht="14.25" customHeight="1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</row>
    <row r="437" spans="1:27" ht="14.25" customHeight="1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</row>
    <row r="438" spans="1:27" ht="14.25" customHeight="1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</row>
    <row r="439" spans="1:27" ht="14.25" customHeight="1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</row>
    <row r="440" spans="1:27" ht="14.25" customHeight="1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</row>
    <row r="441" spans="1:27" ht="14.25" customHeight="1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</row>
    <row r="442" spans="1:27" ht="14.25" customHeight="1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</row>
    <row r="443" spans="1:27" ht="14.25" customHeight="1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</row>
    <row r="444" spans="1:27" ht="14.25" customHeight="1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</row>
    <row r="445" spans="1:27" ht="14.25" customHeight="1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</row>
    <row r="446" spans="1:27" ht="14.25" customHeight="1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</row>
    <row r="447" spans="1:27" ht="14.25" customHeight="1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</row>
    <row r="448" spans="1:27" ht="14.25" customHeight="1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</row>
    <row r="449" spans="1:27" ht="14.25" customHeight="1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</row>
    <row r="450" spans="1:27" ht="14.25" customHeight="1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</row>
    <row r="451" spans="1:27" ht="14.25" customHeight="1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</row>
    <row r="452" spans="1:27" ht="14.25" customHeight="1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</row>
    <row r="453" spans="1:27" ht="14.25" customHeight="1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</row>
    <row r="454" spans="1:27" ht="14.25" customHeight="1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</row>
    <row r="455" spans="1:27" ht="14.25" customHeight="1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</row>
    <row r="456" spans="1:27" ht="14.25" customHeight="1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</row>
    <row r="457" spans="1:27" ht="14.25" customHeight="1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</row>
    <row r="458" spans="1:27" ht="14.25" customHeight="1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</row>
    <row r="459" spans="1:27" ht="14.25" customHeight="1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</row>
    <row r="460" spans="1:27" ht="14.25" customHeight="1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</row>
    <row r="461" spans="1:27" ht="14.25" customHeight="1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</row>
    <row r="462" spans="1:27" ht="14.25" customHeight="1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</row>
    <row r="463" spans="1:27" ht="14.25" customHeight="1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</row>
    <row r="464" spans="1:27" ht="14.25" customHeight="1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</row>
    <row r="465" spans="1:27" ht="14.25" customHeight="1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</row>
    <row r="466" spans="1:27" ht="14.25" customHeight="1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</row>
    <row r="467" spans="1:27" ht="14.25" customHeight="1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</row>
    <row r="468" spans="1:27" ht="14.25" customHeight="1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</row>
    <row r="469" spans="1:27" ht="14.25" customHeight="1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</row>
    <row r="470" spans="1:27" ht="14.25" customHeight="1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</row>
    <row r="471" spans="1:27" ht="14.25" customHeight="1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</row>
    <row r="472" spans="1:27" ht="14.25" customHeight="1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</row>
    <row r="473" spans="1:27" ht="14.25" customHeight="1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</row>
    <row r="474" spans="1:27" ht="14.25" customHeight="1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</row>
    <row r="475" spans="1:27" ht="14.25" customHeight="1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</row>
    <row r="476" spans="1:27" ht="14.25" customHeight="1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</row>
    <row r="477" spans="1:27" ht="14.25" customHeight="1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</row>
    <row r="478" spans="1:27" ht="14.25" customHeight="1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</row>
    <row r="479" spans="1:27" ht="14.25" customHeight="1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</row>
    <row r="480" spans="1:27" ht="14.25" customHeight="1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</row>
    <row r="481" spans="1:27" ht="14.25" customHeight="1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</row>
    <row r="482" spans="1:27" ht="14.25" customHeight="1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</row>
    <row r="483" spans="1:27" ht="14.25" customHeight="1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</row>
    <row r="484" spans="1:27" ht="14.25" customHeight="1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</row>
    <row r="485" spans="1:27" ht="14.25" customHeight="1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</row>
    <row r="486" spans="1:27" ht="14.25" customHeight="1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</row>
    <row r="487" spans="1:27" ht="14.25" customHeight="1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</row>
    <row r="488" spans="1:27" ht="14.25" customHeight="1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</row>
    <row r="489" spans="1:27" ht="14.25" customHeight="1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</row>
    <row r="490" spans="1:27" ht="14.25" customHeight="1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</row>
    <row r="491" spans="1:27" ht="14.25" customHeight="1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</row>
    <row r="492" spans="1:27" ht="14.25" customHeight="1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</row>
    <row r="493" spans="1:27" ht="14.25" customHeight="1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</row>
    <row r="494" spans="1:27" ht="14.25" customHeight="1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</row>
    <row r="495" spans="1:27" ht="14.25" customHeight="1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</row>
    <row r="496" spans="1:27" ht="14.25" customHeight="1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</row>
    <row r="497" spans="1:27" ht="14.25" customHeight="1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</row>
    <row r="498" spans="1:27" ht="14.25" customHeight="1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</row>
    <row r="499" spans="1:27" ht="14.25" customHeight="1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</row>
    <row r="500" spans="1:27" ht="14.25" customHeight="1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</row>
    <row r="501" spans="1:27" ht="14.25" customHeight="1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</row>
    <row r="502" spans="1:27" ht="14.25" customHeight="1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</row>
    <row r="503" spans="1:27" ht="14.25" customHeight="1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</row>
    <row r="504" spans="1:27" ht="14.25" customHeight="1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</row>
    <row r="505" spans="1:27" ht="14.25" customHeight="1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</row>
    <row r="506" spans="1:27" ht="14.25" customHeight="1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</row>
    <row r="507" spans="1:27" ht="14.25" customHeight="1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</row>
    <row r="508" spans="1:27" ht="14.25" customHeight="1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</row>
    <row r="509" spans="1:27" ht="14.25" customHeight="1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</row>
    <row r="510" spans="1:27" ht="14.25" customHeight="1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</row>
    <row r="511" spans="1:27" ht="14.25" customHeight="1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</row>
    <row r="512" spans="1:27" ht="14.25" customHeight="1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</row>
    <row r="513" spans="1:27" ht="14.25" customHeight="1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</row>
    <row r="514" spans="1:27" ht="14.25" customHeight="1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</row>
    <row r="515" spans="1:27" ht="14.25" customHeight="1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</row>
    <row r="516" spans="1:27" ht="14.25" customHeight="1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</row>
    <row r="517" spans="1:27" ht="14.25" customHeight="1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</row>
    <row r="518" spans="1:27" ht="14.25" customHeight="1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</row>
    <row r="519" spans="1:27" ht="14.25" customHeight="1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</row>
    <row r="520" spans="1:27" ht="14.25" customHeight="1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</row>
    <row r="521" spans="1:27" ht="14.25" customHeight="1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</row>
    <row r="522" spans="1:27" ht="14.25" customHeight="1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</row>
    <row r="523" spans="1:27" ht="14.25" customHeight="1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</row>
    <row r="524" spans="1:27" ht="14.25" customHeight="1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</row>
    <row r="525" spans="1:27" ht="14.25" customHeight="1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</row>
    <row r="526" spans="1:27" ht="14.25" customHeight="1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</row>
    <row r="527" spans="1:27" ht="14.25" customHeight="1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</row>
    <row r="528" spans="1:27" ht="14.25" customHeight="1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</row>
    <row r="529" spans="1:27" ht="14.25" customHeight="1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</row>
    <row r="530" spans="1:27" ht="14.25" customHeight="1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</row>
    <row r="531" spans="1:27" ht="14.25" customHeight="1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</row>
    <row r="532" spans="1:27" ht="14.25" customHeight="1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</row>
    <row r="533" spans="1:27" ht="14.25" customHeight="1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</row>
    <row r="534" spans="1:27" ht="14.25" customHeight="1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</row>
    <row r="535" spans="1:27" ht="14.25" customHeight="1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</row>
    <row r="536" spans="1:27" ht="14.25" customHeight="1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</row>
    <row r="537" spans="1:27" ht="14.25" customHeight="1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</row>
    <row r="538" spans="1:27" ht="14.25" customHeight="1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</row>
    <row r="539" spans="1:27" ht="14.25" customHeight="1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</row>
    <row r="540" spans="1:27" ht="14.25" customHeight="1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</row>
    <row r="541" spans="1:27" ht="14.25" customHeight="1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</row>
    <row r="542" spans="1:27" ht="14.25" customHeight="1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</row>
    <row r="543" spans="1:27" ht="14.25" customHeight="1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</row>
    <row r="544" spans="1:27" ht="14.25" customHeight="1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</row>
    <row r="545" spans="1:27" ht="14.25" customHeight="1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</row>
    <row r="546" spans="1:27" ht="14.25" customHeight="1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</row>
    <row r="547" spans="1:27" ht="14.25" customHeight="1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</row>
    <row r="548" spans="1:27" ht="14.25" customHeight="1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</row>
    <row r="549" spans="1:27" ht="14.25" customHeight="1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</row>
    <row r="550" spans="1:27" ht="14.25" customHeight="1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</row>
    <row r="551" spans="1:27" ht="14.25" customHeight="1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</row>
    <row r="552" spans="1:27" ht="14.25" customHeight="1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</row>
    <row r="553" spans="1:27" ht="14.25" customHeight="1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</row>
    <row r="554" spans="1:27" ht="14.25" customHeight="1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</row>
    <row r="555" spans="1:27" ht="14.25" customHeight="1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</row>
    <row r="556" spans="1:27" ht="14.25" customHeight="1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</row>
    <row r="557" spans="1:27" ht="14.25" customHeight="1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</row>
    <row r="558" spans="1:27" ht="14.25" customHeight="1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</row>
    <row r="559" spans="1:27" ht="14.25" customHeight="1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</row>
    <row r="560" spans="1:27" ht="14.25" customHeight="1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</row>
    <row r="561" spans="1:27" ht="14.25" customHeight="1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</row>
    <row r="562" spans="1:27" ht="14.25" customHeight="1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</row>
    <row r="563" spans="1:27" ht="14.25" customHeight="1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</row>
    <row r="564" spans="1:27" ht="14.25" customHeight="1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</row>
    <row r="565" spans="1:27" ht="14.25" customHeight="1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</row>
    <row r="566" spans="1:27" ht="14.25" customHeight="1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</row>
    <row r="567" spans="1:27" ht="14.25" customHeight="1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</row>
    <row r="568" spans="1:27" ht="14.25" customHeight="1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</row>
    <row r="569" spans="1:27" ht="14.25" customHeight="1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</row>
    <row r="570" spans="1:27" ht="14.25" customHeight="1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</row>
    <row r="571" spans="1:27" ht="14.25" customHeight="1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</row>
    <row r="572" spans="1:27" ht="14.25" customHeight="1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</row>
    <row r="573" spans="1:27" ht="14.25" customHeight="1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</row>
    <row r="574" spans="1:27" ht="14.25" customHeight="1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</row>
    <row r="575" spans="1:27" ht="14.25" customHeight="1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</row>
    <row r="576" spans="1:27" ht="14.25" customHeight="1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</row>
    <row r="577" spans="1:27" ht="14.25" customHeight="1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</row>
    <row r="578" spans="1:27" ht="14.25" customHeight="1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</row>
    <row r="579" spans="1:27" ht="14.25" customHeight="1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</row>
    <row r="580" spans="1:27" ht="14.25" customHeight="1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</row>
    <row r="581" spans="1:27" ht="14.25" customHeight="1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</row>
    <row r="582" spans="1:27" ht="14.25" customHeight="1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</row>
    <row r="583" spans="1:27" ht="14.25" customHeight="1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</row>
    <row r="584" spans="1:27" ht="14.25" customHeight="1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</row>
    <row r="585" spans="1:27" ht="14.25" customHeight="1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</row>
    <row r="586" spans="1:27" ht="14.25" customHeight="1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</row>
    <row r="587" spans="1:27" ht="14.25" customHeight="1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</row>
    <row r="588" spans="1:27" ht="14.25" customHeight="1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</row>
    <row r="589" spans="1:27" ht="14.25" customHeight="1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</row>
    <row r="590" spans="1:27" ht="14.25" customHeight="1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</row>
    <row r="591" spans="1:27" ht="14.25" customHeight="1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</row>
    <row r="592" spans="1:27" ht="14.25" customHeight="1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</row>
    <row r="593" spans="1:27" ht="14.25" customHeight="1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</row>
    <row r="594" spans="1:27" ht="14.25" customHeight="1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</row>
    <row r="595" spans="1:27" ht="14.25" customHeight="1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</row>
    <row r="596" spans="1:27" ht="14.25" customHeight="1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</row>
    <row r="597" spans="1:27" ht="14.25" customHeight="1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</row>
    <row r="598" spans="1:27" ht="14.25" customHeight="1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</row>
    <row r="599" spans="1:27" ht="14.25" customHeight="1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</row>
    <row r="600" spans="1:27" ht="14.25" customHeight="1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</row>
    <row r="601" spans="1:27" ht="14.25" customHeight="1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</row>
    <row r="602" spans="1:27" ht="14.25" customHeight="1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</row>
    <row r="603" spans="1:27" ht="14.25" customHeight="1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</row>
    <row r="604" spans="1:27" ht="14.25" customHeight="1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</row>
    <row r="605" spans="1:27" ht="14.25" customHeight="1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</row>
    <row r="606" spans="1:27" ht="14.25" customHeight="1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</row>
    <row r="607" spans="1:27" ht="14.25" customHeight="1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</row>
    <row r="608" spans="1:27" ht="14.25" customHeight="1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</row>
    <row r="609" spans="1:27" ht="14.25" customHeight="1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</row>
    <row r="610" spans="1:27" ht="14.25" customHeight="1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</row>
    <row r="611" spans="1:27" ht="14.25" customHeight="1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</row>
    <row r="612" spans="1:27" ht="14.25" customHeight="1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</row>
    <row r="613" spans="1:27" ht="14.25" customHeight="1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</row>
    <row r="614" spans="1:27" ht="14.25" customHeight="1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</row>
    <row r="615" spans="1:27" ht="14.25" customHeight="1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</row>
    <row r="616" spans="1:27" ht="14.25" customHeight="1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</row>
    <row r="617" spans="1:27" ht="14.25" customHeight="1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</row>
    <row r="618" spans="1:27" ht="14.25" customHeight="1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</row>
    <row r="619" spans="1:27" ht="14.25" customHeight="1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</row>
    <row r="620" spans="1:27" ht="14.25" customHeight="1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</row>
    <row r="621" spans="1:27" ht="14.25" customHeight="1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</row>
    <row r="622" spans="1:27" ht="14.25" customHeight="1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</row>
    <row r="623" spans="1:27" ht="14.25" customHeight="1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</row>
    <row r="624" spans="1:27" ht="14.25" customHeight="1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</row>
    <row r="625" spans="1:27" ht="14.25" customHeight="1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</row>
    <row r="626" spans="1:27" ht="14.25" customHeight="1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</row>
    <row r="627" spans="1:27" ht="14.25" customHeight="1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</row>
    <row r="628" spans="1:27" ht="14.25" customHeight="1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</row>
    <row r="629" spans="1:27" ht="14.25" customHeight="1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</row>
    <row r="630" spans="1:27" ht="14.25" customHeight="1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</row>
    <row r="631" spans="1:27" ht="14.25" customHeight="1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</row>
    <row r="632" spans="1:27" ht="14.25" customHeight="1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</row>
    <row r="633" spans="1:27" ht="14.25" customHeight="1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</row>
    <row r="634" spans="1:27" ht="14.25" customHeight="1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</row>
    <row r="635" spans="1:27" ht="14.25" customHeight="1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</row>
    <row r="636" spans="1:27" ht="14.25" customHeight="1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</row>
    <row r="637" spans="1:27" ht="14.25" customHeight="1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</row>
    <row r="638" spans="1:27" ht="14.25" customHeight="1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</row>
    <row r="639" spans="1:27" ht="14.25" customHeight="1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</row>
    <row r="640" spans="1:27" ht="14.25" customHeight="1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</row>
    <row r="641" spans="1:27" ht="14.25" customHeight="1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</row>
    <row r="642" spans="1:27" ht="14.25" customHeight="1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</row>
    <row r="643" spans="1:27" ht="14.25" customHeight="1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</row>
    <row r="644" spans="1:27" ht="14.25" customHeight="1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</row>
    <row r="645" spans="1:27" ht="14.25" customHeight="1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</row>
    <row r="646" spans="1:27" ht="14.25" customHeight="1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</row>
    <row r="647" spans="1:27" ht="14.25" customHeight="1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</row>
    <row r="648" spans="1:27" ht="14.25" customHeight="1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</row>
    <row r="649" spans="1:27" ht="14.25" customHeight="1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</row>
    <row r="650" spans="1:27" ht="14.25" customHeight="1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</row>
    <row r="651" spans="1:27" ht="14.25" customHeight="1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</row>
    <row r="652" spans="1:27" ht="14.25" customHeight="1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</row>
    <row r="653" spans="1:27" ht="14.25" customHeight="1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</row>
    <row r="654" spans="1:27" ht="14.25" customHeight="1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</row>
    <row r="655" spans="1:27" ht="14.25" customHeight="1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</row>
    <row r="656" spans="1:27" ht="14.25" customHeight="1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</row>
    <row r="657" spans="1:27" ht="14.25" customHeight="1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</row>
    <row r="658" spans="1:27" ht="14.25" customHeight="1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</row>
    <row r="659" spans="1:27" ht="14.25" customHeight="1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</row>
    <row r="660" spans="1:27" ht="14.25" customHeight="1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</row>
    <row r="661" spans="1:27" ht="14.25" customHeight="1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</row>
    <row r="662" spans="1:27" ht="14.25" customHeight="1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</row>
    <row r="663" spans="1:27" ht="14.25" customHeight="1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</row>
    <row r="664" spans="1:27" ht="14.25" customHeight="1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</row>
    <row r="665" spans="1:27" ht="14.25" customHeight="1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</row>
    <row r="666" spans="1:27" ht="14.25" customHeight="1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</row>
    <row r="667" spans="1:27" ht="14.25" customHeight="1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</row>
    <row r="668" spans="1:27" ht="14.25" customHeight="1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</row>
    <row r="669" spans="1:27" ht="14.25" customHeight="1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</row>
    <row r="670" spans="1:27" ht="14.25" customHeight="1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</row>
    <row r="671" spans="1:27" ht="14.25" customHeight="1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</row>
    <row r="672" spans="1:27" ht="14.25" customHeight="1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</row>
    <row r="673" spans="1:27" ht="14.25" customHeight="1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</row>
    <row r="674" spans="1:27" ht="14.25" customHeight="1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</row>
    <row r="675" spans="1:27" ht="14.25" customHeight="1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</row>
    <row r="676" spans="1:27" ht="14.25" customHeight="1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</row>
    <row r="677" spans="1:27" ht="14.25" customHeight="1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</row>
    <row r="678" spans="1:27" ht="14.25" customHeight="1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</row>
    <row r="679" spans="1:27" ht="14.25" customHeight="1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</row>
    <row r="680" spans="1:27" ht="14.25" customHeight="1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</row>
    <row r="681" spans="1:27" ht="14.25" customHeight="1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</row>
    <row r="682" spans="1:27" ht="14.25" customHeight="1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</row>
    <row r="683" spans="1:27" ht="14.25" customHeight="1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</row>
    <row r="684" spans="1:27" ht="14.25" customHeight="1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</row>
    <row r="685" spans="1:27" ht="14.25" customHeight="1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</row>
    <row r="686" spans="1:27" ht="14.25" customHeight="1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</row>
    <row r="687" spans="1:27" ht="14.25" customHeight="1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</row>
    <row r="688" spans="1:27" ht="14.25" customHeight="1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</row>
    <row r="689" spans="1:27" ht="14.25" customHeight="1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</row>
    <row r="690" spans="1:27" ht="14.25" customHeight="1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</row>
    <row r="691" spans="1:27" ht="14.25" customHeight="1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</row>
    <row r="692" spans="1:27" ht="14.25" customHeight="1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</row>
    <row r="693" spans="1:27" ht="14.25" customHeight="1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</row>
    <row r="694" spans="1:27" ht="14.25" customHeight="1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</row>
    <row r="695" spans="1:27" ht="14.25" customHeight="1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</row>
    <row r="696" spans="1:27" ht="14.25" customHeight="1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</row>
    <row r="697" spans="1:27" ht="14.25" customHeight="1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</row>
    <row r="698" spans="1:27" ht="14.25" customHeight="1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</row>
    <row r="699" spans="1:27" ht="14.25" customHeight="1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</row>
    <row r="700" spans="1:27" ht="14.25" customHeight="1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</row>
    <row r="701" spans="1:27" ht="14.25" customHeight="1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</row>
    <row r="702" spans="1:27" ht="14.25" customHeight="1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</row>
    <row r="703" spans="1:27" ht="14.25" customHeight="1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</row>
    <row r="704" spans="1:27" ht="14.25" customHeight="1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</row>
    <row r="705" spans="1:27" ht="14.25" customHeight="1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</row>
    <row r="706" spans="1:27" ht="14.25" customHeight="1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</row>
    <row r="707" spans="1:27" ht="14.25" customHeight="1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</row>
    <row r="708" spans="1:27" ht="14.25" customHeight="1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</row>
    <row r="709" spans="1:27" ht="14.25" customHeight="1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</row>
    <row r="710" spans="1:27" ht="14.25" customHeight="1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</row>
    <row r="711" spans="1:27" ht="14.25" customHeight="1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</row>
    <row r="712" spans="1:27" ht="14.25" customHeight="1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</row>
    <row r="713" spans="1:27" ht="14.25" customHeight="1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</row>
    <row r="714" spans="1:27" ht="14.25" customHeight="1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</row>
    <row r="715" spans="1:27" ht="14.25" customHeight="1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</row>
    <row r="716" spans="1:27" ht="14.25" customHeight="1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</row>
    <row r="717" spans="1:27" ht="14.25" customHeight="1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</row>
    <row r="718" spans="1:27" ht="14.25" customHeight="1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</row>
    <row r="719" spans="1:27" ht="14.25" customHeight="1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</row>
    <row r="720" spans="1:27" ht="14.25" customHeight="1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</row>
    <row r="721" spans="1:27" ht="14.25" customHeight="1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</row>
    <row r="722" spans="1:27" ht="14.25" customHeight="1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</row>
    <row r="723" spans="1:27" ht="14.25" customHeight="1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</row>
    <row r="724" spans="1:27" ht="14.25" customHeight="1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</row>
    <row r="725" spans="1:27" ht="14.25" customHeight="1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</row>
    <row r="726" spans="1:27" ht="14.25" customHeight="1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</row>
    <row r="727" spans="1:27" ht="14.25" customHeight="1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</row>
    <row r="728" spans="1:27" ht="14.25" customHeight="1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</row>
    <row r="729" spans="1:27" ht="14.25" customHeight="1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</row>
    <row r="730" spans="1:27" ht="14.25" customHeight="1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</row>
    <row r="731" spans="1:27" ht="14.25" customHeight="1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</row>
    <row r="732" spans="1:27" ht="14.25" customHeight="1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</row>
    <row r="733" spans="1:27" ht="14.25" customHeight="1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</row>
    <row r="734" spans="1:27" ht="14.25" customHeight="1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</row>
    <row r="735" spans="1:27" ht="14.25" customHeight="1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</row>
    <row r="736" spans="1:27" ht="14.25" customHeight="1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</row>
    <row r="737" spans="1:27" ht="14.25" customHeight="1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</row>
    <row r="738" spans="1:27" ht="14.25" customHeight="1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</row>
    <row r="739" spans="1:27" ht="14.25" customHeight="1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</row>
    <row r="740" spans="1:27" ht="14.25" customHeight="1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</row>
    <row r="741" spans="1:27" ht="14.25" customHeight="1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</row>
    <row r="742" spans="1:27" ht="14.25" customHeight="1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</row>
    <row r="743" spans="1:27" ht="14.25" customHeight="1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</row>
    <row r="744" spans="1:27" ht="14.25" customHeight="1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</row>
    <row r="745" spans="1:27" ht="14.25" customHeight="1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</row>
    <row r="746" spans="1:27" ht="14.25" customHeight="1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</row>
    <row r="747" spans="1:27" ht="14.25" customHeight="1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</row>
    <row r="748" spans="1:27" ht="14.25" customHeight="1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</row>
    <row r="749" spans="1:27" ht="14.25" customHeight="1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</row>
    <row r="750" spans="1:27" ht="14.25" customHeight="1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</row>
    <row r="751" spans="1:27" ht="14.25" customHeight="1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</row>
    <row r="752" spans="1:27" ht="14.25" customHeight="1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</row>
    <row r="753" spans="1:27" ht="14.25" customHeight="1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</row>
    <row r="754" spans="1:27" ht="14.25" customHeight="1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</row>
    <row r="755" spans="1:27" ht="14.25" customHeight="1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</row>
    <row r="756" spans="1:27" ht="14.25" customHeight="1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</row>
    <row r="757" spans="1:27" ht="14.25" customHeight="1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</row>
    <row r="758" spans="1:27" ht="14.25" customHeight="1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</row>
    <row r="759" spans="1:27" ht="14.25" customHeight="1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</row>
    <row r="760" spans="1:27" ht="14.25" customHeight="1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</row>
    <row r="761" spans="1:27" ht="14.25" customHeight="1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</row>
    <row r="762" spans="1:27" ht="14.25" customHeight="1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</row>
    <row r="763" spans="1:27" ht="14.25" customHeight="1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</row>
    <row r="764" spans="1:27" ht="14.25" customHeight="1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</row>
    <row r="765" spans="1:27" ht="14.25" customHeight="1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</row>
    <row r="766" spans="1:27" ht="14.25" customHeight="1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</row>
    <row r="767" spans="1:27" ht="14.25" customHeight="1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</row>
    <row r="768" spans="1:27" ht="14.25" customHeight="1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</row>
    <row r="769" spans="1:27" ht="14.25" customHeight="1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</row>
    <row r="770" spans="1:27" ht="14.25" customHeight="1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</row>
    <row r="771" spans="1:27" ht="14.25" customHeight="1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</row>
    <row r="772" spans="1:27" ht="14.25" customHeight="1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</row>
    <row r="773" spans="1:27" ht="14.25" customHeight="1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</row>
    <row r="774" spans="1:27" ht="14.25" customHeight="1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</row>
    <row r="775" spans="1:27" ht="14.25" customHeight="1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</row>
    <row r="776" spans="1:27" ht="14.25" customHeight="1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</row>
    <row r="777" spans="1:27" ht="14.25" customHeight="1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</row>
    <row r="778" spans="1:27" ht="14.25" customHeight="1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</row>
    <row r="779" spans="1:27" ht="14.25" customHeight="1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</row>
    <row r="780" spans="1:27" ht="14.25" customHeight="1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</row>
    <row r="781" spans="1:27" ht="14.25" customHeight="1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/>
    </row>
    <row r="782" spans="1:27" ht="14.25" customHeight="1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</row>
    <row r="783" spans="1:27" ht="14.25" customHeight="1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</row>
    <row r="784" spans="1:27" ht="14.25" customHeight="1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</row>
    <row r="785" spans="1:27" ht="14.25" customHeight="1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/>
    </row>
    <row r="786" spans="1:27" ht="14.25" customHeight="1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  <c r="AA786" s="5"/>
    </row>
    <row r="787" spans="1:27" ht="14.25" customHeight="1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  <c r="AA787" s="5"/>
    </row>
    <row r="788" spans="1:27" ht="14.25" customHeight="1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  <c r="AA788" s="5"/>
    </row>
    <row r="789" spans="1:27" ht="14.25" customHeight="1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  <c r="AA789" s="5"/>
    </row>
    <row r="790" spans="1:27" ht="14.25" customHeight="1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  <c r="AA790" s="5"/>
    </row>
    <row r="791" spans="1:27" ht="14.25" customHeight="1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  <c r="AA791" s="5"/>
    </row>
    <row r="792" spans="1:27" ht="14.25" customHeight="1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  <c r="AA792" s="5"/>
    </row>
    <row r="793" spans="1:27" ht="14.25" customHeight="1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  <c r="AA793" s="5"/>
    </row>
    <row r="794" spans="1:27" ht="14.25" customHeight="1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  <c r="AA794" s="5"/>
    </row>
    <row r="795" spans="1:27" ht="14.25" customHeight="1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  <c r="AA795" s="5"/>
    </row>
    <row r="796" spans="1:27" ht="14.25" customHeight="1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  <c r="AA796" s="5"/>
    </row>
    <row r="797" spans="1:27" ht="14.25" customHeight="1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  <c r="AA797" s="5"/>
    </row>
    <row r="798" spans="1:27" ht="14.25" customHeight="1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  <c r="AA798" s="5"/>
    </row>
    <row r="799" spans="1:27" ht="14.25" customHeight="1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  <c r="AA799" s="5"/>
    </row>
    <row r="800" spans="1:27" ht="14.25" customHeight="1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  <c r="AA800" s="5"/>
    </row>
    <row r="801" spans="1:27" ht="14.25" customHeight="1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  <c r="AA801" s="5"/>
    </row>
    <row r="802" spans="1:27" ht="14.25" customHeight="1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  <c r="AA802" s="5"/>
    </row>
    <row r="803" spans="1:27" ht="14.25" customHeight="1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  <c r="AA803" s="5"/>
    </row>
    <row r="804" spans="1:27" ht="14.25" customHeight="1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  <c r="AA804" s="5"/>
    </row>
    <row r="805" spans="1:27" ht="14.25" customHeight="1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  <c r="AA805" s="5"/>
    </row>
    <row r="806" spans="1:27" ht="14.25" customHeight="1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  <c r="AA806" s="5"/>
    </row>
    <row r="807" spans="1:27" ht="14.25" customHeight="1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  <c r="AA807" s="5"/>
    </row>
    <row r="808" spans="1:27" ht="14.25" customHeight="1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  <c r="AA808" s="5"/>
    </row>
    <row r="809" spans="1:27" ht="14.25" customHeight="1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  <c r="AA809" s="5"/>
    </row>
    <row r="810" spans="1:27" ht="14.25" customHeight="1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  <c r="AA810" s="5"/>
    </row>
    <row r="811" spans="1:27" ht="14.25" customHeight="1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  <c r="AA811" s="5"/>
    </row>
    <row r="812" spans="1:27" ht="14.25" customHeight="1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  <c r="AA812" s="5"/>
    </row>
    <row r="813" spans="1:27" ht="14.25" customHeight="1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  <c r="AA813" s="5"/>
    </row>
    <row r="814" spans="1:27" ht="14.25" customHeight="1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  <c r="AA814" s="5"/>
    </row>
    <row r="815" spans="1:27" ht="14.25" customHeight="1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  <c r="AA815" s="5"/>
    </row>
    <row r="816" spans="1:27" ht="14.25" customHeight="1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  <c r="AA816" s="5"/>
    </row>
    <row r="817" spans="1:27" ht="14.25" customHeight="1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  <c r="AA817" s="5"/>
    </row>
    <row r="818" spans="1:27" ht="14.25" customHeight="1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  <c r="AA818" s="5"/>
    </row>
    <row r="819" spans="1:27" ht="14.25" customHeight="1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  <c r="AA819" s="5"/>
    </row>
    <row r="820" spans="1:27" ht="14.25" customHeight="1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  <c r="AA820" s="5"/>
    </row>
    <row r="821" spans="1:27" ht="14.25" customHeight="1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  <c r="AA821" s="5"/>
    </row>
    <row r="822" spans="1:27" ht="14.25" customHeight="1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  <c r="AA822" s="5"/>
    </row>
    <row r="823" spans="1:27" ht="14.25" customHeight="1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  <c r="AA823" s="5"/>
    </row>
    <row r="824" spans="1:27" ht="14.25" customHeight="1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  <c r="AA824" s="5"/>
    </row>
    <row r="825" spans="1:27" ht="14.25" customHeight="1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  <c r="AA825" s="5"/>
    </row>
    <row r="826" spans="1:27" ht="14.25" customHeight="1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  <c r="AA826" s="5"/>
    </row>
    <row r="827" spans="1:27" ht="14.25" customHeight="1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  <c r="AA827" s="5"/>
    </row>
    <row r="828" spans="1:27" ht="14.25" customHeight="1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  <c r="AA828" s="5"/>
    </row>
    <row r="829" spans="1:27" ht="14.25" customHeight="1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  <c r="AA829" s="5"/>
    </row>
    <row r="830" spans="1:27" ht="14.25" customHeight="1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  <c r="AA830" s="5"/>
    </row>
    <row r="831" spans="1:27" ht="14.25" customHeight="1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  <c r="AA831" s="5"/>
    </row>
    <row r="832" spans="1:27" ht="14.25" customHeight="1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  <c r="AA832" s="5"/>
    </row>
    <row r="833" spans="1:27" ht="14.25" customHeight="1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  <c r="AA833" s="5"/>
    </row>
    <row r="834" spans="1:27" ht="14.25" customHeight="1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  <c r="AA834" s="5"/>
    </row>
    <row r="835" spans="1:27" ht="14.25" customHeight="1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  <c r="AA835" s="5"/>
    </row>
    <row r="836" spans="1:27" ht="14.25" customHeight="1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  <c r="AA836" s="5"/>
    </row>
    <row r="837" spans="1:27" ht="14.25" customHeight="1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  <c r="AA837" s="5"/>
    </row>
    <row r="838" spans="1:27" ht="14.25" customHeight="1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  <c r="AA838" s="5"/>
    </row>
    <row r="839" spans="1:27" ht="14.25" customHeight="1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  <c r="AA839" s="5"/>
    </row>
    <row r="840" spans="1:27" ht="14.25" customHeight="1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  <c r="AA840" s="5"/>
    </row>
    <row r="841" spans="1:27" ht="14.25" customHeight="1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  <c r="AA841" s="5"/>
    </row>
    <row r="842" spans="1:27" ht="14.25" customHeight="1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  <c r="AA842" s="5"/>
    </row>
    <row r="843" spans="1:27" ht="14.25" customHeight="1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  <c r="AA843" s="5"/>
    </row>
    <row r="844" spans="1:27" ht="14.25" customHeight="1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  <c r="AA844" s="5"/>
    </row>
    <row r="845" spans="1:27" ht="14.25" customHeight="1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  <c r="AA845" s="5"/>
    </row>
    <row r="846" spans="1:27" ht="14.25" customHeight="1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  <c r="AA846" s="5"/>
    </row>
    <row r="847" spans="1:27" ht="14.25" customHeight="1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  <c r="AA847" s="5"/>
    </row>
    <row r="848" spans="1:27" ht="14.25" customHeight="1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  <c r="AA848" s="5"/>
    </row>
    <row r="849" spans="1:27" ht="14.25" customHeight="1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  <c r="AA849" s="5"/>
    </row>
    <row r="850" spans="1:27" ht="14.25" customHeight="1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  <c r="AA850" s="5"/>
    </row>
    <row r="851" spans="1:27" ht="14.25" customHeight="1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  <c r="AA851" s="5"/>
    </row>
    <row r="852" spans="1:27" ht="14.25" customHeight="1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  <c r="AA852" s="5"/>
    </row>
    <row r="853" spans="1:27" ht="14.25" customHeight="1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  <c r="AA853" s="5"/>
    </row>
    <row r="854" spans="1:27" ht="14.25" customHeight="1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  <c r="AA854" s="5"/>
    </row>
    <row r="855" spans="1:27" ht="14.25" customHeight="1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  <c r="AA855" s="5"/>
    </row>
    <row r="856" spans="1:27" ht="14.25" customHeight="1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  <c r="AA856" s="5"/>
    </row>
    <row r="857" spans="1:27" ht="14.25" customHeight="1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  <c r="AA857" s="5"/>
    </row>
    <row r="858" spans="1:27" ht="14.25" customHeight="1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  <c r="AA858" s="5"/>
    </row>
    <row r="859" spans="1:27" ht="14.25" customHeight="1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  <c r="AA859" s="5"/>
    </row>
    <row r="860" spans="1:27" ht="14.25" customHeight="1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  <c r="AA860" s="5"/>
    </row>
    <row r="861" spans="1:27" ht="14.25" customHeight="1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  <c r="AA861" s="5"/>
    </row>
    <row r="862" spans="1:27" ht="14.25" customHeight="1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  <c r="AA862" s="5"/>
    </row>
    <row r="863" spans="1:27" ht="14.25" customHeight="1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  <c r="AA863" s="5"/>
    </row>
    <row r="864" spans="1:27" ht="14.25" customHeight="1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  <c r="AA864" s="5"/>
    </row>
    <row r="865" spans="1:27" ht="14.25" customHeight="1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  <c r="AA865" s="5"/>
    </row>
    <row r="866" spans="1:27" ht="14.25" customHeight="1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  <c r="AA866" s="5"/>
    </row>
    <row r="867" spans="1:27" ht="14.25" customHeight="1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  <c r="AA867" s="5"/>
    </row>
    <row r="868" spans="1:27" ht="14.25" customHeight="1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  <c r="AA868" s="5"/>
    </row>
    <row r="869" spans="1:27" ht="14.25" customHeight="1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  <c r="AA869" s="5"/>
    </row>
    <row r="870" spans="1:27" ht="14.25" customHeight="1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  <c r="AA870" s="5"/>
    </row>
    <row r="871" spans="1:27" ht="14.25" customHeight="1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  <c r="AA871" s="5"/>
    </row>
    <row r="872" spans="1:27" ht="14.25" customHeight="1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  <c r="AA872" s="5"/>
    </row>
    <row r="873" spans="1:27" ht="14.25" customHeight="1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  <c r="AA873" s="5"/>
    </row>
    <row r="874" spans="1:27" ht="14.25" customHeight="1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  <c r="AA874" s="5"/>
    </row>
    <row r="875" spans="1:27" ht="14.25" customHeight="1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  <c r="AA875" s="5"/>
    </row>
    <row r="876" spans="1:27" ht="14.25" customHeight="1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  <c r="AA876" s="5"/>
    </row>
    <row r="877" spans="1:27" ht="14.25" customHeight="1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  <c r="AA877" s="5"/>
    </row>
    <row r="878" spans="1:27" ht="14.25" customHeight="1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  <c r="AA878" s="5"/>
    </row>
    <row r="879" spans="1:27" ht="14.25" customHeight="1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  <c r="AA879" s="5"/>
    </row>
    <row r="880" spans="1:27" ht="14.25" customHeight="1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  <c r="AA880" s="5"/>
    </row>
    <row r="881" spans="1:27" ht="14.25" customHeight="1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  <c r="AA881" s="5"/>
    </row>
    <row r="882" spans="1:27" ht="14.25" customHeight="1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  <c r="AA882" s="5"/>
    </row>
    <row r="883" spans="1:27" ht="14.25" customHeight="1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  <c r="AA883" s="5"/>
    </row>
    <row r="884" spans="1:27" ht="14.25" customHeight="1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  <c r="AA884" s="5"/>
    </row>
    <row r="885" spans="1:27" ht="14.25" customHeight="1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  <c r="AA885" s="5"/>
    </row>
    <row r="886" spans="1:27" ht="14.25" customHeight="1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  <c r="AA886" s="5"/>
    </row>
    <row r="887" spans="1:27" ht="14.25" customHeight="1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  <c r="AA887" s="5"/>
    </row>
    <row r="888" spans="1:27" ht="14.25" customHeight="1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  <c r="AA888" s="5"/>
    </row>
    <row r="889" spans="1:27" ht="14.25" customHeight="1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  <c r="AA889" s="5"/>
    </row>
    <row r="890" spans="1:27" ht="14.25" customHeight="1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  <c r="AA890" s="5"/>
    </row>
    <row r="891" spans="1:27" ht="14.25" customHeight="1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  <c r="AA891" s="5"/>
    </row>
    <row r="892" spans="1:27" ht="14.25" customHeight="1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  <c r="AA892" s="5"/>
    </row>
    <row r="893" spans="1:27" ht="14.25" customHeight="1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  <c r="AA893" s="5"/>
    </row>
    <row r="894" spans="1:27" ht="14.25" customHeight="1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  <c r="AA894" s="5"/>
    </row>
    <row r="895" spans="1:27" ht="14.25" customHeight="1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  <c r="AA895" s="5"/>
    </row>
    <row r="896" spans="1:27" ht="14.25" customHeight="1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  <c r="AA896" s="5"/>
    </row>
    <row r="897" spans="1:27" ht="14.25" customHeight="1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  <c r="AA897" s="5"/>
    </row>
    <row r="898" spans="1:27" ht="14.25" customHeight="1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  <c r="AA898" s="5"/>
    </row>
    <row r="899" spans="1:27" ht="14.25" customHeight="1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  <c r="AA899" s="5"/>
    </row>
    <row r="900" spans="1:27" ht="14.25" customHeight="1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  <c r="AA900" s="5"/>
    </row>
    <row r="901" spans="1:27" ht="14.25" customHeight="1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  <c r="AA901" s="5"/>
    </row>
    <row r="902" spans="1:27" ht="14.25" customHeight="1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  <c r="AA902" s="5"/>
    </row>
    <row r="903" spans="1:27" ht="14.25" customHeight="1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  <c r="AA903" s="5"/>
    </row>
    <row r="904" spans="1:27" ht="14.25" customHeight="1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  <c r="AA904" s="5"/>
    </row>
    <row r="905" spans="1:27" ht="14.25" customHeight="1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  <c r="AA905" s="5"/>
    </row>
    <row r="906" spans="1:27" ht="14.25" customHeight="1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  <c r="AA906" s="5"/>
    </row>
    <row r="907" spans="1:27" ht="14.25" customHeight="1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  <c r="AA907" s="5"/>
    </row>
    <row r="908" spans="1:27" ht="14.25" customHeight="1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  <c r="AA908" s="5"/>
    </row>
    <row r="909" spans="1:27" ht="14.25" customHeight="1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  <c r="AA909" s="5"/>
    </row>
    <row r="910" spans="1:27" ht="14.25" customHeight="1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  <c r="AA910" s="5"/>
    </row>
    <row r="911" spans="1:27" ht="14.25" customHeight="1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  <c r="AA911" s="5"/>
    </row>
    <row r="912" spans="1:27" ht="14.25" customHeight="1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  <c r="AA912" s="5"/>
    </row>
    <row r="913" spans="1:27" ht="14.25" customHeight="1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  <c r="AA913" s="5"/>
    </row>
    <row r="914" spans="1:27" ht="14.25" customHeight="1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  <c r="AA914" s="5"/>
    </row>
    <row r="915" spans="1:27" ht="14.25" customHeight="1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  <c r="AA915" s="5"/>
    </row>
    <row r="916" spans="1:27" ht="14.25" customHeight="1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  <c r="AA916" s="5"/>
    </row>
    <row r="917" spans="1:27" ht="14.25" customHeight="1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  <c r="AA917" s="5"/>
    </row>
    <row r="918" spans="1:27" ht="14.25" customHeight="1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  <c r="AA918" s="5"/>
    </row>
    <row r="919" spans="1:27" ht="14.25" customHeight="1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  <c r="AA919" s="5"/>
    </row>
    <row r="920" spans="1:27" ht="14.25" customHeight="1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  <c r="AA920" s="5"/>
    </row>
    <row r="921" spans="1:27" ht="14.25" customHeight="1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  <c r="AA921" s="5"/>
    </row>
    <row r="922" spans="1:27" ht="14.25" customHeight="1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  <c r="AA922" s="5"/>
    </row>
    <row r="923" spans="1:27" ht="14.25" customHeight="1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  <c r="AA923" s="5"/>
    </row>
    <row r="924" spans="1:27" ht="14.25" customHeight="1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  <c r="AA924" s="5"/>
    </row>
    <row r="925" spans="1:27" ht="14.25" customHeight="1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  <c r="AA925" s="5"/>
    </row>
    <row r="926" spans="1:27" ht="14.25" customHeight="1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  <c r="AA926" s="5"/>
    </row>
    <row r="927" spans="1:27" ht="14.25" customHeight="1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  <c r="AA927" s="5"/>
    </row>
    <row r="928" spans="1:27" ht="14.25" customHeight="1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  <c r="AA928" s="5"/>
    </row>
    <row r="929" spans="1:27" ht="14.25" customHeight="1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  <c r="AA929" s="5"/>
    </row>
    <row r="930" spans="1:27" ht="14.25" customHeight="1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  <c r="AA930" s="5"/>
    </row>
    <row r="931" spans="1:27" ht="14.25" customHeight="1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  <c r="AA931" s="5"/>
    </row>
    <row r="932" spans="1:27" ht="14.25" customHeight="1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  <c r="AA932" s="5"/>
    </row>
    <row r="933" spans="1:27" ht="14.25" customHeight="1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  <c r="AA933" s="5"/>
    </row>
    <row r="934" spans="1:27" ht="14.25" customHeight="1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  <c r="AA934" s="5"/>
    </row>
    <row r="935" spans="1:27" ht="14.25" customHeight="1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  <c r="AA935" s="5"/>
    </row>
    <row r="936" spans="1:27" ht="14.25" customHeight="1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  <c r="AA936" s="5"/>
    </row>
    <row r="937" spans="1:27" ht="14.25" customHeight="1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  <c r="AA937" s="5"/>
    </row>
    <row r="938" spans="1:27" ht="14.25" customHeight="1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  <c r="AA938" s="5"/>
    </row>
    <row r="939" spans="1:27" ht="14.25" customHeight="1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  <c r="AA939" s="5"/>
    </row>
    <row r="940" spans="1:27" ht="14.25" customHeight="1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  <c r="AA940" s="5"/>
    </row>
    <row r="941" spans="1:27" ht="14.25" customHeight="1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  <c r="AA941" s="5"/>
    </row>
    <row r="942" spans="1:27" ht="14.25" customHeight="1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  <c r="AA942" s="5"/>
    </row>
    <row r="943" spans="1:27" ht="14.25" customHeight="1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  <c r="AA943" s="5"/>
    </row>
    <row r="944" spans="1:27" ht="14.25" customHeight="1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  <c r="AA944" s="5"/>
    </row>
    <row r="945" spans="1:27" ht="14.25" customHeight="1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  <c r="AA945" s="5"/>
    </row>
    <row r="946" spans="1:27" ht="14.25" customHeight="1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  <c r="AA946" s="5"/>
    </row>
    <row r="947" spans="1:27" ht="14.25" customHeight="1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  <c r="AA947" s="5"/>
    </row>
    <row r="948" spans="1:27" ht="14.25" customHeight="1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  <c r="AA948" s="5"/>
    </row>
    <row r="949" spans="1:27" ht="14.25" customHeight="1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  <c r="AA949" s="5"/>
    </row>
    <row r="950" spans="1:27" ht="14.25" customHeight="1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  <c r="AA950" s="5"/>
    </row>
    <row r="951" spans="1:27" ht="14.25" customHeight="1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  <c r="AA951" s="5"/>
    </row>
    <row r="952" spans="1:27" ht="14.25" customHeight="1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  <c r="AA952" s="5"/>
    </row>
    <row r="953" spans="1:27" ht="14.25" customHeight="1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  <c r="AA953" s="5"/>
    </row>
    <row r="954" spans="1:27" ht="14.25" customHeight="1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  <c r="AA954" s="5"/>
    </row>
    <row r="955" spans="1:27" ht="14.25" customHeight="1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  <c r="AA955" s="5"/>
    </row>
    <row r="956" spans="1:27" ht="14.25" customHeight="1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  <c r="AA956" s="5"/>
    </row>
    <row r="957" spans="1:27" ht="14.25" customHeight="1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  <c r="AA957" s="5"/>
    </row>
    <row r="958" spans="1:27" ht="14.25" customHeight="1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  <c r="AA958" s="5"/>
    </row>
    <row r="959" spans="1:27" ht="14.25" customHeight="1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  <c r="AA959" s="5"/>
    </row>
    <row r="960" spans="1:27" ht="14.25" customHeight="1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  <c r="AA960" s="5"/>
    </row>
    <row r="961" spans="1:27" ht="14.25" customHeight="1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  <c r="AA961" s="5"/>
    </row>
    <row r="962" spans="1:27" ht="14.25" customHeight="1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  <c r="AA962" s="5"/>
    </row>
    <row r="963" spans="1:27" ht="14.25" customHeight="1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  <c r="AA963" s="5"/>
    </row>
    <row r="964" spans="1:27" ht="14.25" customHeight="1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  <c r="AA964" s="5"/>
    </row>
    <row r="965" spans="1:27" ht="14.25" customHeight="1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  <c r="AA965" s="5"/>
    </row>
    <row r="966" spans="1:27" ht="14.25" customHeight="1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  <c r="AA966" s="5"/>
    </row>
    <row r="967" spans="1:27" ht="14.25" customHeight="1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  <c r="AA967" s="5"/>
    </row>
    <row r="968" spans="1:27" ht="14.25" customHeight="1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  <c r="AA968" s="5"/>
    </row>
    <row r="969" spans="1:27" ht="14.25" customHeight="1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  <c r="AA969" s="5"/>
    </row>
    <row r="970" spans="1:27" ht="14.25" customHeight="1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  <c r="AA970" s="5"/>
    </row>
    <row r="971" spans="1:27" ht="14.25" customHeight="1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  <c r="AA971" s="5"/>
    </row>
    <row r="972" spans="1:27" ht="14.25" customHeight="1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  <c r="AA972" s="5"/>
    </row>
    <row r="973" spans="1:27" ht="14.25" customHeight="1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  <c r="AA973" s="5"/>
    </row>
    <row r="974" spans="1:27" ht="14.25" customHeight="1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  <c r="AA974" s="5"/>
    </row>
    <row r="975" spans="1:27" ht="14.25" customHeight="1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  <c r="AA975" s="5"/>
    </row>
    <row r="976" spans="1:27" ht="14.25" customHeight="1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  <c r="AA976" s="5"/>
    </row>
    <row r="977" spans="1:27" ht="14.25" customHeight="1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  <c r="AA977" s="5"/>
    </row>
    <row r="978" spans="1:27" ht="14.25" customHeight="1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  <c r="AA978" s="5"/>
    </row>
    <row r="979" spans="1:27" ht="14.25" customHeight="1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  <c r="AA979" s="5"/>
    </row>
    <row r="980" spans="1:27" ht="14.25" customHeight="1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  <c r="AA980" s="5"/>
    </row>
    <row r="981" spans="1:27" ht="14.25" customHeight="1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  <c r="AA981" s="5"/>
    </row>
    <row r="982" spans="1:27" ht="14.25" customHeight="1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  <c r="AA982" s="5"/>
    </row>
    <row r="983" spans="1:27" ht="14.25" customHeight="1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  <c r="AA983" s="5"/>
    </row>
    <row r="984" spans="1:27" ht="14.25" customHeight="1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  <c r="AA984" s="5"/>
    </row>
    <row r="985" spans="1:27" ht="14.25" customHeight="1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  <c r="AA985" s="5"/>
    </row>
    <row r="986" spans="1:27" ht="14.25" customHeight="1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  <c r="AA986" s="5"/>
    </row>
    <row r="987" spans="1:27" ht="14.25" customHeight="1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  <c r="AA987" s="5"/>
    </row>
    <row r="988" spans="1:27" ht="14.25" customHeight="1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  <c r="AA988" s="5"/>
    </row>
    <row r="989" spans="1:27" ht="14.25" customHeight="1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  <c r="AA989" s="5"/>
    </row>
    <row r="990" spans="1:27" ht="14.25" customHeight="1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  <c r="AA990" s="5"/>
    </row>
    <row r="991" spans="1:27" ht="14.25" customHeight="1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  <c r="AA991" s="5"/>
    </row>
    <row r="992" spans="1:27" ht="14.25" customHeight="1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  <c r="AA992" s="5"/>
    </row>
    <row r="993" spans="1:27" ht="14.25" customHeight="1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  <c r="AA993" s="5"/>
    </row>
    <row r="994" spans="1:27" ht="14.25" customHeight="1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  <c r="AA994" s="5"/>
    </row>
    <row r="995" spans="1:27" ht="14.25" customHeight="1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  <c r="AA995" s="5"/>
    </row>
    <row r="996" spans="1:27" ht="14.25" customHeight="1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  <c r="AA996" s="5"/>
    </row>
    <row r="997" spans="1:27" ht="14.25" customHeight="1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  <c r="AA997" s="5"/>
    </row>
    <row r="998" spans="1:27" ht="14.25" customHeight="1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  <c r="AA998" s="5"/>
    </row>
    <row r="999" spans="1:27" ht="14.25" customHeight="1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  <c r="AA999" s="5"/>
    </row>
    <row r="1000" spans="1:27" ht="14.25" customHeight="1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  <c r="AA1000" s="5"/>
    </row>
  </sheetData>
  <mergeCells count="31">
    <mergeCell ref="A1:C1"/>
    <mergeCell ref="A2:C2"/>
    <mergeCell ref="A3:E3"/>
    <mergeCell ref="A4:E4"/>
    <mergeCell ref="A6:E6"/>
    <mergeCell ref="A7:E7"/>
    <mergeCell ref="A10:X10"/>
    <mergeCell ref="K12:K13"/>
    <mergeCell ref="L12:M12"/>
    <mergeCell ref="N12:N13"/>
    <mergeCell ref="O12:O13"/>
    <mergeCell ref="P12:Q12"/>
    <mergeCell ref="R12:R13"/>
    <mergeCell ref="S12:X12"/>
    <mergeCell ref="A12:J12"/>
    <mergeCell ref="A13:B13"/>
    <mergeCell ref="C13:C14"/>
    <mergeCell ref="D13:D14"/>
    <mergeCell ref="E13:F13"/>
    <mergeCell ref="G13:G14"/>
    <mergeCell ref="H13:I13"/>
    <mergeCell ref="F90:I90"/>
    <mergeCell ref="Q89:R89"/>
    <mergeCell ref="T89:U89"/>
    <mergeCell ref="J13:J14"/>
    <mergeCell ref="A30:J30"/>
    <mergeCell ref="A72:J72"/>
    <mergeCell ref="A73:J73"/>
    <mergeCell ref="A76:M76"/>
    <mergeCell ref="A78:H80"/>
    <mergeCell ref="K89:N89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AA1005"/>
  <sheetViews>
    <sheetView workbookViewId="0"/>
  </sheetViews>
  <sheetFormatPr defaultColWidth="12.625" defaultRowHeight="15" customHeight="1"/>
  <cols>
    <col min="1" max="1" width="9.125" customWidth="1"/>
    <col min="2" max="2" width="9.875" customWidth="1"/>
    <col min="3" max="3" width="9.125" customWidth="1"/>
    <col min="4" max="4" width="14" customWidth="1"/>
    <col min="5" max="5" width="9.125" customWidth="1"/>
    <col min="6" max="6" width="11.375" customWidth="1"/>
    <col min="7" max="7" width="14" customWidth="1"/>
    <col min="8" max="8" width="13" customWidth="1"/>
    <col min="9" max="10" width="9.125" customWidth="1"/>
    <col min="11" max="11" width="13.25" customWidth="1"/>
    <col min="12" max="12" width="10.375" customWidth="1"/>
    <col min="13" max="13" width="14" customWidth="1"/>
    <col min="14" max="14" width="13.625" customWidth="1"/>
    <col min="15" max="16" width="9.125" customWidth="1"/>
    <col min="17" max="17" width="10.375" customWidth="1"/>
    <col min="18" max="18" width="12.75" customWidth="1"/>
    <col min="19" max="19" width="11.75" customWidth="1"/>
    <col min="20" max="20" width="12.375" customWidth="1"/>
    <col min="21" max="21" width="13.875" customWidth="1"/>
    <col min="22" max="22" width="9.125" customWidth="1"/>
    <col min="23" max="23" width="14.625" customWidth="1"/>
    <col min="24" max="24" width="9.125" customWidth="1"/>
    <col min="25" max="25" width="10.75" customWidth="1"/>
    <col min="26" max="27" width="9.125" customWidth="1"/>
  </cols>
  <sheetData>
    <row r="1" spans="1:27" ht="14.25" customHeight="1">
      <c r="A1" s="157" t="s">
        <v>0</v>
      </c>
      <c r="B1" s="142"/>
      <c r="C1" s="142"/>
      <c r="D1" s="142"/>
      <c r="E1" s="142"/>
      <c r="F1" s="137"/>
      <c r="G1" s="1"/>
      <c r="H1" s="2"/>
      <c r="I1" s="2"/>
      <c r="J1" s="3"/>
      <c r="K1" s="1"/>
      <c r="L1" s="1"/>
      <c r="M1" s="1"/>
      <c r="N1" s="1"/>
      <c r="O1" s="1"/>
      <c r="P1" s="1"/>
      <c r="Q1" s="1"/>
      <c r="R1" s="1"/>
      <c r="S1" s="1"/>
      <c r="T1" s="1"/>
      <c r="U1" s="4"/>
      <c r="V1" s="5"/>
      <c r="W1" s="5"/>
      <c r="X1" s="5"/>
      <c r="Y1" s="5"/>
      <c r="Z1" s="5"/>
      <c r="AA1" s="5"/>
    </row>
    <row r="2" spans="1:27" ht="14.25" customHeight="1">
      <c r="A2" s="161" t="s">
        <v>1</v>
      </c>
      <c r="B2" s="147"/>
      <c r="C2" s="147"/>
      <c r="D2" s="147"/>
      <c r="E2" s="147"/>
      <c r="F2" s="148"/>
      <c r="G2" s="1"/>
      <c r="H2" s="2"/>
      <c r="I2" s="2"/>
      <c r="J2" s="3"/>
      <c r="K2" s="1"/>
      <c r="L2" s="1"/>
      <c r="M2" s="1"/>
      <c r="N2" s="1"/>
      <c r="O2" s="1"/>
      <c r="P2" s="1"/>
      <c r="Q2" s="1"/>
      <c r="R2" s="1"/>
      <c r="S2" s="1"/>
      <c r="T2" s="1"/>
      <c r="U2" s="4"/>
      <c r="V2" s="5"/>
      <c r="W2" s="5"/>
      <c r="X2" s="5"/>
      <c r="Y2" s="5"/>
      <c r="Z2" s="5"/>
      <c r="AA2" s="5"/>
    </row>
    <row r="3" spans="1:27" ht="14.25" customHeight="1">
      <c r="A3" s="161" t="s">
        <v>2</v>
      </c>
      <c r="B3" s="147"/>
      <c r="C3" s="147"/>
      <c r="D3" s="147"/>
      <c r="E3" s="147"/>
      <c r="F3" s="148"/>
      <c r="G3" s="1"/>
      <c r="H3" s="2"/>
      <c r="I3" s="2"/>
      <c r="J3" s="3"/>
      <c r="K3" s="1"/>
      <c r="L3" s="1"/>
      <c r="M3" s="1"/>
      <c r="N3" s="1"/>
      <c r="O3" s="1"/>
      <c r="P3" s="1"/>
      <c r="Q3" s="1"/>
      <c r="R3" s="1"/>
      <c r="S3" s="1"/>
      <c r="T3" s="1"/>
      <c r="U3" s="4"/>
      <c r="V3" s="5"/>
      <c r="W3" s="5"/>
      <c r="X3" s="5"/>
      <c r="Y3" s="5"/>
      <c r="Z3" s="5"/>
      <c r="AA3" s="5"/>
    </row>
    <row r="4" spans="1:27" ht="14.25" customHeight="1">
      <c r="A4" s="157" t="s">
        <v>145</v>
      </c>
      <c r="B4" s="142"/>
      <c r="C4" s="142"/>
      <c r="D4" s="142"/>
      <c r="E4" s="142"/>
      <c r="F4" s="137"/>
      <c r="G4" s="1"/>
      <c r="H4" s="2"/>
      <c r="I4" s="2"/>
      <c r="J4" s="3"/>
      <c r="K4" s="1"/>
      <c r="L4" s="1"/>
      <c r="M4" s="1"/>
      <c r="N4" s="1"/>
      <c r="O4" s="1"/>
      <c r="P4" s="1"/>
      <c r="Q4" s="1"/>
      <c r="R4" s="1"/>
      <c r="S4" s="1"/>
      <c r="T4" s="1"/>
      <c r="U4" s="4"/>
      <c r="V4" s="5"/>
      <c r="W4" s="5"/>
      <c r="X4" s="5"/>
      <c r="Y4" s="5"/>
      <c r="Z4" s="5"/>
      <c r="AA4" s="5"/>
    </row>
    <row r="5" spans="1:27" ht="14.25" customHeight="1">
      <c r="A5" s="8" t="s">
        <v>4</v>
      </c>
      <c r="B5" s="8"/>
      <c r="C5" s="8"/>
      <c r="D5" s="8"/>
      <c r="E5" s="8"/>
      <c r="F5" s="8"/>
      <c r="G5" s="9"/>
      <c r="H5" s="2"/>
      <c r="I5" s="2"/>
      <c r="J5" s="3"/>
      <c r="K5" s="1"/>
      <c r="L5" s="1"/>
      <c r="M5" s="1"/>
      <c r="N5" s="1"/>
      <c r="O5" s="1"/>
      <c r="P5" s="1"/>
      <c r="Q5" s="1"/>
      <c r="R5" s="1"/>
      <c r="S5" s="1"/>
      <c r="T5" s="1"/>
      <c r="U5" s="4"/>
      <c r="V5" s="5"/>
      <c r="W5" s="5"/>
      <c r="X5" s="5"/>
      <c r="Y5" s="5"/>
      <c r="Z5" s="5"/>
      <c r="AA5" s="5"/>
    </row>
    <row r="6" spans="1:27" ht="14.25" customHeight="1">
      <c r="A6" s="157" t="s">
        <v>146</v>
      </c>
      <c r="B6" s="142"/>
      <c r="C6" s="142"/>
      <c r="D6" s="142"/>
      <c r="E6" s="142"/>
      <c r="F6" s="137"/>
      <c r="G6" s="1"/>
      <c r="H6" s="2"/>
      <c r="I6" s="2"/>
      <c r="J6" s="3"/>
      <c r="K6" s="1"/>
      <c r="L6" s="1"/>
      <c r="M6" s="1"/>
      <c r="N6" s="1"/>
      <c r="O6" s="1"/>
      <c r="P6" s="1"/>
      <c r="Q6" s="1"/>
      <c r="R6" s="1"/>
      <c r="S6" s="1"/>
      <c r="T6" s="1"/>
      <c r="U6" s="4"/>
      <c r="V6" s="5"/>
      <c r="W6" s="5"/>
      <c r="X6" s="5"/>
      <c r="Y6" s="5"/>
      <c r="Z6" s="5"/>
      <c r="AA6" s="5"/>
    </row>
    <row r="7" spans="1:27" ht="14.25" customHeight="1">
      <c r="A7" s="157" t="s">
        <v>147</v>
      </c>
      <c r="B7" s="142"/>
      <c r="C7" s="142"/>
      <c r="D7" s="142"/>
      <c r="E7" s="142"/>
      <c r="F7" s="137"/>
      <c r="G7" s="1"/>
      <c r="H7" s="2"/>
      <c r="I7" s="2"/>
      <c r="J7" s="3"/>
      <c r="K7" s="1"/>
      <c r="L7" s="1"/>
      <c r="M7" s="1"/>
      <c r="N7" s="1"/>
      <c r="O7" s="1"/>
      <c r="P7" s="1"/>
      <c r="Q7" s="1"/>
      <c r="R7" s="1"/>
      <c r="S7" s="1"/>
      <c r="T7" s="1"/>
      <c r="U7" s="4"/>
      <c r="V7" s="5"/>
      <c r="W7" s="5"/>
      <c r="X7" s="5"/>
      <c r="Y7" s="5"/>
      <c r="Z7" s="5"/>
      <c r="AA7" s="5"/>
    </row>
    <row r="8" spans="1:27" ht="14.25" customHeight="1">
      <c r="A8" s="5"/>
      <c r="B8" s="5"/>
      <c r="C8" s="5"/>
      <c r="D8" s="10"/>
      <c r="E8" s="1"/>
      <c r="F8" s="1"/>
      <c r="G8" s="1"/>
      <c r="H8" s="2"/>
      <c r="I8" s="2"/>
      <c r="J8" s="3"/>
      <c r="K8" s="1"/>
      <c r="L8" s="1"/>
      <c r="M8" s="1"/>
      <c r="N8" s="1"/>
      <c r="O8" s="1"/>
      <c r="P8" s="1"/>
      <c r="Q8" s="1"/>
      <c r="R8" s="1"/>
      <c r="S8" s="1"/>
      <c r="T8" s="1"/>
      <c r="U8" s="4"/>
      <c r="V8" s="5"/>
      <c r="W8" s="5"/>
      <c r="X8" s="5"/>
      <c r="Y8" s="5"/>
      <c r="Z8" s="5"/>
      <c r="AA8" s="5"/>
    </row>
    <row r="9" spans="1:27" ht="14.25" customHeight="1">
      <c r="A9" s="5"/>
      <c r="B9" s="5"/>
      <c r="C9" s="5"/>
      <c r="D9" s="11"/>
      <c r="E9" s="1"/>
      <c r="F9" s="1"/>
      <c r="G9" s="1"/>
      <c r="H9" s="2"/>
      <c r="I9" s="2"/>
      <c r="J9" s="3"/>
      <c r="K9" s="1"/>
      <c r="L9" s="1"/>
      <c r="M9" s="1"/>
      <c r="N9" s="1"/>
      <c r="O9" s="1"/>
      <c r="P9" s="1"/>
      <c r="Q9" s="1"/>
      <c r="R9" s="1"/>
      <c r="S9" s="1"/>
      <c r="T9" s="1"/>
      <c r="U9" s="4"/>
      <c r="V9" s="5"/>
      <c r="W9" s="5"/>
      <c r="X9" s="5"/>
      <c r="Y9" s="5"/>
      <c r="Z9" s="5"/>
      <c r="AA9" s="5"/>
    </row>
    <row r="10" spans="1:27" ht="14.25" customHeight="1">
      <c r="A10" s="158" t="s">
        <v>7</v>
      </c>
      <c r="B10" s="135"/>
      <c r="C10" s="135"/>
      <c r="D10" s="135"/>
      <c r="E10" s="135"/>
      <c r="F10" s="135"/>
      <c r="G10" s="135"/>
      <c r="H10" s="135"/>
      <c r="I10" s="135"/>
      <c r="J10" s="135"/>
      <c r="K10" s="135"/>
      <c r="L10" s="135"/>
      <c r="M10" s="135"/>
      <c r="N10" s="135"/>
      <c r="O10" s="135"/>
      <c r="P10" s="135"/>
      <c r="Q10" s="135"/>
      <c r="R10" s="135"/>
      <c r="S10" s="135"/>
      <c r="T10" s="135"/>
      <c r="U10" s="135"/>
      <c r="V10" s="135"/>
      <c r="W10" s="135"/>
      <c r="X10" s="135"/>
      <c r="Y10" s="5"/>
      <c r="Z10" s="5"/>
      <c r="AA10" s="5"/>
    </row>
    <row r="11" spans="1:27" ht="14.25" customHeight="1">
      <c r="A11" s="1"/>
      <c r="B11" s="1"/>
      <c r="C11" s="1"/>
      <c r="D11" s="1"/>
      <c r="E11" s="1"/>
      <c r="F11" s="1"/>
      <c r="G11" s="1"/>
      <c r="H11" s="2"/>
      <c r="I11" s="2"/>
      <c r="J11" s="12"/>
      <c r="K11" s="1"/>
      <c r="L11" s="1"/>
      <c r="M11" s="1"/>
      <c r="N11" s="1"/>
      <c r="O11" s="1"/>
      <c r="P11" s="1"/>
      <c r="Q11" s="1"/>
      <c r="R11" s="1"/>
      <c r="S11" s="1"/>
      <c r="T11" s="1"/>
      <c r="U11" s="103"/>
      <c r="V11" s="1"/>
      <c r="W11" s="13"/>
      <c r="X11" s="1"/>
      <c r="Y11" s="5"/>
      <c r="Z11" s="5"/>
      <c r="AA11" s="5"/>
    </row>
    <row r="12" spans="1:27" ht="14.25" customHeight="1">
      <c r="A12" s="160" t="s">
        <v>8</v>
      </c>
      <c r="B12" s="142"/>
      <c r="C12" s="142"/>
      <c r="D12" s="142"/>
      <c r="E12" s="142"/>
      <c r="F12" s="142"/>
      <c r="G12" s="142"/>
      <c r="H12" s="142"/>
      <c r="I12" s="142"/>
      <c r="J12" s="137"/>
      <c r="K12" s="159" t="s">
        <v>9</v>
      </c>
      <c r="L12" s="160" t="s">
        <v>10</v>
      </c>
      <c r="M12" s="137"/>
      <c r="N12" s="159" t="s">
        <v>11</v>
      </c>
      <c r="O12" s="159" t="s">
        <v>12</v>
      </c>
      <c r="P12" s="160" t="s">
        <v>13</v>
      </c>
      <c r="Q12" s="137"/>
      <c r="R12" s="159" t="s">
        <v>14</v>
      </c>
      <c r="S12" s="160" t="s">
        <v>15</v>
      </c>
      <c r="T12" s="142"/>
      <c r="U12" s="142"/>
      <c r="V12" s="142"/>
      <c r="W12" s="142"/>
      <c r="X12" s="137"/>
      <c r="Y12" s="5"/>
      <c r="Z12" s="5"/>
      <c r="AA12" s="5"/>
    </row>
    <row r="13" spans="1:27" ht="14.25" customHeight="1">
      <c r="A13" s="160" t="s">
        <v>16</v>
      </c>
      <c r="B13" s="137"/>
      <c r="C13" s="159" t="s">
        <v>17</v>
      </c>
      <c r="D13" s="159" t="s">
        <v>18</v>
      </c>
      <c r="E13" s="160" t="s">
        <v>19</v>
      </c>
      <c r="F13" s="137"/>
      <c r="G13" s="159" t="s">
        <v>20</v>
      </c>
      <c r="H13" s="160" t="s">
        <v>21</v>
      </c>
      <c r="I13" s="137"/>
      <c r="J13" s="139" t="s">
        <v>22</v>
      </c>
      <c r="K13" s="140"/>
      <c r="L13" s="14" t="s">
        <v>23</v>
      </c>
      <c r="M13" s="14" t="s">
        <v>24</v>
      </c>
      <c r="N13" s="140"/>
      <c r="O13" s="140"/>
      <c r="P13" s="15" t="s">
        <v>25</v>
      </c>
      <c r="Q13" s="15" t="s">
        <v>26</v>
      </c>
      <c r="R13" s="140"/>
      <c r="S13" s="16" t="s">
        <v>27</v>
      </c>
      <c r="T13" s="17" t="s">
        <v>28</v>
      </c>
      <c r="U13" s="16" t="s">
        <v>29</v>
      </c>
      <c r="V13" s="18" t="s">
        <v>28</v>
      </c>
      <c r="W13" s="19" t="s">
        <v>30</v>
      </c>
      <c r="X13" s="18" t="s">
        <v>28</v>
      </c>
      <c r="Y13" s="5"/>
      <c r="Z13" s="5"/>
      <c r="AA13" s="5"/>
    </row>
    <row r="14" spans="1:27" ht="31.5" customHeight="1">
      <c r="A14" s="16" t="s">
        <v>31</v>
      </c>
      <c r="B14" s="16" t="s">
        <v>19</v>
      </c>
      <c r="C14" s="140"/>
      <c r="D14" s="140"/>
      <c r="E14" s="15" t="s">
        <v>32</v>
      </c>
      <c r="F14" s="15" t="s">
        <v>33</v>
      </c>
      <c r="G14" s="140"/>
      <c r="H14" s="15" t="s">
        <v>31</v>
      </c>
      <c r="I14" s="15" t="s">
        <v>19</v>
      </c>
      <c r="J14" s="140"/>
      <c r="K14" s="16" t="s">
        <v>34</v>
      </c>
      <c r="L14" s="15" t="s">
        <v>35</v>
      </c>
      <c r="M14" s="15" t="s">
        <v>36</v>
      </c>
      <c r="N14" s="15" t="s">
        <v>37</v>
      </c>
      <c r="O14" s="15" t="s">
        <v>38</v>
      </c>
      <c r="P14" s="15" t="s">
        <v>39</v>
      </c>
      <c r="Q14" s="15" t="s">
        <v>40</v>
      </c>
      <c r="R14" s="16" t="s">
        <v>41</v>
      </c>
      <c r="S14" s="20" t="s">
        <v>42</v>
      </c>
      <c r="T14" s="21" t="s">
        <v>43</v>
      </c>
      <c r="U14" s="20" t="s">
        <v>44</v>
      </c>
      <c r="V14" s="21" t="s">
        <v>45</v>
      </c>
      <c r="W14" s="19" t="s">
        <v>46</v>
      </c>
      <c r="X14" s="21" t="s">
        <v>47</v>
      </c>
      <c r="Y14" s="5"/>
      <c r="Z14" s="5"/>
      <c r="AA14" s="5"/>
    </row>
    <row r="15" spans="1:27" ht="63" customHeight="1">
      <c r="A15" s="22" t="s">
        <v>48</v>
      </c>
      <c r="B15" s="23" t="s">
        <v>49</v>
      </c>
      <c r="C15" s="23" t="s">
        <v>50</v>
      </c>
      <c r="D15" s="23" t="s">
        <v>51</v>
      </c>
      <c r="E15" s="23" t="s">
        <v>52</v>
      </c>
      <c r="F15" s="23" t="s">
        <v>53</v>
      </c>
      <c r="G15" s="23" t="s">
        <v>54</v>
      </c>
      <c r="H15" s="104" t="s">
        <v>148</v>
      </c>
      <c r="I15" s="23" t="s">
        <v>56</v>
      </c>
      <c r="J15" s="24">
        <v>3</v>
      </c>
      <c r="K15" s="105">
        <v>2000000</v>
      </c>
      <c r="L15" s="105">
        <v>0</v>
      </c>
      <c r="M15" s="105">
        <v>0</v>
      </c>
      <c r="N15" s="26">
        <f t="shared" ref="N15:N30" si="0">K15+L15-M15</f>
        <v>2000000</v>
      </c>
      <c r="O15" s="27"/>
      <c r="P15" s="27"/>
      <c r="Q15" s="27"/>
      <c r="R15" s="26">
        <f t="shared" ref="R15:R30" si="1">N15-O15+P15+Q15</f>
        <v>2000000</v>
      </c>
      <c r="S15" s="105">
        <v>0</v>
      </c>
      <c r="T15" s="28">
        <f t="shared" ref="T15:T31" si="2">IF(R15&gt;0,S15/R15,0)</f>
        <v>0</v>
      </c>
      <c r="U15" s="106">
        <v>0</v>
      </c>
      <c r="V15" s="28">
        <f t="shared" ref="V15:V31" si="3">IF(R15&gt;0,U15/R15,0)</f>
        <v>0</v>
      </c>
      <c r="W15" s="105">
        <v>0</v>
      </c>
      <c r="X15" s="28">
        <f t="shared" ref="X15:X31" si="4">IF(R15&gt;0,W15/R15,0)</f>
        <v>0</v>
      </c>
      <c r="Y15" s="5"/>
      <c r="Z15" s="5"/>
      <c r="AA15" s="5"/>
    </row>
    <row r="16" spans="1:27" ht="63" customHeight="1">
      <c r="A16" s="22" t="s">
        <v>48</v>
      </c>
      <c r="B16" s="23" t="s">
        <v>49</v>
      </c>
      <c r="C16" s="23" t="s">
        <v>50</v>
      </c>
      <c r="D16" s="23" t="s">
        <v>57</v>
      </c>
      <c r="E16" s="23" t="s">
        <v>52</v>
      </c>
      <c r="F16" s="23" t="s">
        <v>58</v>
      </c>
      <c r="G16" s="23" t="s">
        <v>54</v>
      </c>
      <c r="H16" s="104" t="s">
        <v>148</v>
      </c>
      <c r="I16" s="23" t="s">
        <v>56</v>
      </c>
      <c r="J16" s="24">
        <v>3</v>
      </c>
      <c r="K16" s="105">
        <v>76324000</v>
      </c>
      <c r="L16" s="105">
        <v>0</v>
      </c>
      <c r="M16" s="105">
        <v>0</v>
      </c>
      <c r="N16" s="26">
        <f t="shared" si="0"/>
        <v>76324000</v>
      </c>
      <c r="O16" s="27"/>
      <c r="P16" s="27"/>
      <c r="Q16" s="27"/>
      <c r="R16" s="26">
        <f t="shared" si="1"/>
        <v>76324000</v>
      </c>
      <c r="S16" s="105">
        <v>6108824.79</v>
      </c>
      <c r="T16" s="28">
        <f t="shared" si="2"/>
        <v>8.0038058670929196E-2</v>
      </c>
      <c r="U16" s="106">
        <v>6108824.79</v>
      </c>
      <c r="V16" s="28">
        <f t="shared" si="3"/>
        <v>8.0038058670929196E-2</v>
      </c>
      <c r="W16" s="105">
        <v>6108824.79</v>
      </c>
      <c r="X16" s="28">
        <f t="shared" si="4"/>
        <v>8.0038058670929196E-2</v>
      </c>
      <c r="Y16" s="30"/>
      <c r="Z16" s="5"/>
      <c r="AA16" s="5"/>
    </row>
    <row r="17" spans="1:27" ht="63" customHeight="1">
      <c r="A17" s="22" t="s">
        <v>48</v>
      </c>
      <c r="B17" s="23" t="s">
        <v>49</v>
      </c>
      <c r="C17" s="23" t="s">
        <v>50</v>
      </c>
      <c r="D17" s="23" t="s">
        <v>59</v>
      </c>
      <c r="E17" s="23" t="s">
        <v>52</v>
      </c>
      <c r="F17" s="23" t="s">
        <v>60</v>
      </c>
      <c r="G17" s="23" t="s">
        <v>54</v>
      </c>
      <c r="H17" s="104" t="s">
        <v>148</v>
      </c>
      <c r="I17" s="23" t="s">
        <v>56</v>
      </c>
      <c r="J17" s="31">
        <v>1</v>
      </c>
      <c r="K17" s="105">
        <v>461873000</v>
      </c>
      <c r="L17" s="105">
        <v>1782000</v>
      </c>
      <c r="M17" s="105">
        <v>1782000</v>
      </c>
      <c r="N17" s="26">
        <f t="shared" si="0"/>
        <v>461873000</v>
      </c>
      <c r="O17" s="27"/>
      <c r="P17" s="27"/>
      <c r="Q17" s="27"/>
      <c r="R17" s="26">
        <f t="shared" si="1"/>
        <v>461873000</v>
      </c>
      <c r="S17" s="105">
        <v>35422066.520000003</v>
      </c>
      <c r="T17" s="28">
        <f t="shared" si="2"/>
        <v>7.6692221714627182E-2</v>
      </c>
      <c r="U17" s="107">
        <v>35422066.520000003</v>
      </c>
      <c r="V17" s="28">
        <f t="shared" si="3"/>
        <v>7.6692221714627182E-2</v>
      </c>
      <c r="W17" s="105">
        <v>34850407.039999999</v>
      </c>
      <c r="X17" s="28">
        <f t="shared" si="4"/>
        <v>7.5454523299694931E-2</v>
      </c>
      <c r="Y17" s="5"/>
      <c r="Z17" s="5"/>
      <c r="AA17" s="5"/>
    </row>
    <row r="18" spans="1:27" ht="63" customHeight="1">
      <c r="A18" s="22" t="s">
        <v>48</v>
      </c>
      <c r="B18" s="23" t="s">
        <v>49</v>
      </c>
      <c r="C18" s="33" t="s">
        <v>50</v>
      </c>
      <c r="D18" s="33" t="s">
        <v>61</v>
      </c>
      <c r="E18" s="23" t="s">
        <v>52</v>
      </c>
      <c r="F18" s="33" t="s">
        <v>62</v>
      </c>
      <c r="G18" s="33" t="s">
        <v>54</v>
      </c>
      <c r="H18" s="104" t="s">
        <v>148</v>
      </c>
      <c r="I18" s="33" t="s">
        <v>63</v>
      </c>
      <c r="J18" s="31">
        <v>1</v>
      </c>
      <c r="K18" s="108">
        <v>120000</v>
      </c>
      <c r="L18" s="109">
        <v>0</v>
      </c>
      <c r="M18" s="109">
        <v>0</v>
      </c>
      <c r="N18" s="36">
        <f t="shared" si="0"/>
        <v>120000</v>
      </c>
      <c r="O18" s="36"/>
      <c r="P18" s="36"/>
      <c r="Q18" s="36"/>
      <c r="R18" s="36">
        <f t="shared" si="1"/>
        <v>120000</v>
      </c>
      <c r="S18" s="110">
        <v>0</v>
      </c>
      <c r="T18" s="38">
        <f t="shared" si="2"/>
        <v>0</v>
      </c>
      <c r="U18" s="107">
        <v>0</v>
      </c>
      <c r="V18" s="38">
        <f t="shared" si="3"/>
        <v>0</v>
      </c>
      <c r="W18" s="109">
        <v>0</v>
      </c>
      <c r="X18" s="38">
        <f t="shared" si="4"/>
        <v>0</v>
      </c>
      <c r="Y18" s="5"/>
      <c r="Z18" s="5"/>
      <c r="AA18" s="5"/>
    </row>
    <row r="19" spans="1:27" ht="63" customHeight="1">
      <c r="A19" s="22" t="s">
        <v>48</v>
      </c>
      <c r="B19" s="23" t="s">
        <v>49</v>
      </c>
      <c r="C19" s="23" t="s">
        <v>50</v>
      </c>
      <c r="D19" s="23" t="s">
        <v>64</v>
      </c>
      <c r="E19" s="23" t="s">
        <v>65</v>
      </c>
      <c r="F19" s="23" t="s">
        <v>66</v>
      </c>
      <c r="G19" s="23" t="s">
        <v>54</v>
      </c>
      <c r="H19" s="104" t="s">
        <v>148</v>
      </c>
      <c r="I19" s="23" t="s">
        <v>56</v>
      </c>
      <c r="J19" s="24">
        <v>3</v>
      </c>
      <c r="K19" s="105">
        <v>21351000</v>
      </c>
      <c r="L19" s="105">
        <v>0</v>
      </c>
      <c r="M19" s="105">
        <v>0</v>
      </c>
      <c r="N19" s="26">
        <f t="shared" si="0"/>
        <v>21351000</v>
      </c>
      <c r="O19" s="27"/>
      <c r="P19" s="27"/>
      <c r="Q19" s="27"/>
      <c r="R19" s="26">
        <f t="shared" si="1"/>
        <v>21351000</v>
      </c>
      <c r="S19" s="105">
        <v>1742171</v>
      </c>
      <c r="T19" s="28">
        <f t="shared" si="2"/>
        <v>8.1596693363308506E-2</v>
      </c>
      <c r="U19" s="106">
        <v>1742171</v>
      </c>
      <c r="V19" s="28">
        <f t="shared" si="3"/>
        <v>8.1596693363308506E-2</v>
      </c>
      <c r="W19" s="105">
        <v>1742171</v>
      </c>
      <c r="X19" s="28">
        <f t="shared" si="4"/>
        <v>8.1596693363308506E-2</v>
      </c>
      <c r="Y19" s="5"/>
      <c r="Z19" s="5"/>
      <c r="AA19" s="5"/>
    </row>
    <row r="20" spans="1:27" ht="63" customHeight="1">
      <c r="A20" s="22" t="s">
        <v>48</v>
      </c>
      <c r="B20" s="23" t="s">
        <v>49</v>
      </c>
      <c r="C20" s="23" t="s">
        <v>50</v>
      </c>
      <c r="D20" s="104" t="s">
        <v>113</v>
      </c>
      <c r="E20" s="23" t="s">
        <v>65</v>
      </c>
      <c r="F20" s="104" t="s">
        <v>149</v>
      </c>
      <c r="G20" s="23" t="s">
        <v>54</v>
      </c>
      <c r="H20" s="104" t="s">
        <v>148</v>
      </c>
      <c r="I20" s="23" t="s">
        <v>56</v>
      </c>
      <c r="J20" s="24">
        <v>3</v>
      </c>
      <c r="K20" s="105">
        <v>475000</v>
      </c>
      <c r="L20" s="105">
        <v>0</v>
      </c>
      <c r="M20" s="105">
        <v>0</v>
      </c>
      <c r="N20" s="26">
        <f t="shared" si="0"/>
        <v>475000</v>
      </c>
      <c r="O20" s="27"/>
      <c r="P20" s="27"/>
      <c r="Q20" s="27"/>
      <c r="R20" s="26">
        <f t="shared" si="1"/>
        <v>475000</v>
      </c>
      <c r="S20" s="105">
        <v>0</v>
      </c>
      <c r="T20" s="28">
        <f t="shared" si="2"/>
        <v>0</v>
      </c>
      <c r="U20" s="111">
        <v>0</v>
      </c>
      <c r="V20" s="28">
        <f t="shared" si="3"/>
        <v>0</v>
      </c>
      <c r="W20" s="105">
        <v>0</v>
      </c>
      <c r="X20" s="28">
        <f t="shared" si="4"/>
        <v>0</v>
      </c>
      <c r="Y20" s="5"/>
      <c r="Z20" s="5"/>
      <c r="AA20" s="5"/>
    </row>
    <row r="21" spans="1:27" ht="63" customHeight="1">
      <c r="A21" s="22" t="s">
        <v>48</v>
      </c>
      <c r="B21" s="23" t="s">
        <v>49</v>
      </c>
      <c r="C21" s="23" t="s">
        <v>50</v>
      </c>
      <c r="D21" s="23" t="s">
        <v>67</v>
      </c>
      <c r="E21" s="23" t="s">
        <v>65</v>
      </c>
      <c r="F21" s="23" t="s">
        <v>68</v>
      </c>
      <c r="G21" s="23" t="s">
        <v>54</v>
      </c>
      <c r="H21" s="104" t="s">
        <v>148</v>
      </c>
      <c r="I21" s="23" t="s">
        <v>56</v>
      </c>
      <c r="J21" s="31">
        <v>1</v>
      </c>
      <c r="K21" s="105">
        <v>111000000</v>
      </c>
      <c r="L21" s="105">
        <v>1191000</v>
      </c>
      <c r="M21" s="105">
        <v>1191000</v>
      </c>
      <c r="N21" s="26">
        <f t="shared" si="0"/>
        <v>111000000</v>
      </c>
      <c r="O21" s="27"/>
      <c r="P21" s="27"/>
      <c r="Q21" s="27"/>
      <c r="R21" s="26">
        <f t="shared" si="1"/>
        <v>111000000</v>
      </c>
      <c r="S21" s="105">
        <v>9297857.4000000004</v>
      </c>
      <c r="T21" s="28">
        <f t="shared" si="2"/>
        <v>8.3764481081081088E-2</v>
      </c>
      <c r="U21" s="107">
        <v>9287676.4100000001</v>
      </c>
      <c r="V21" s="28">
        <f t="shared" si="3"/>
        <v>8.3672760450450454E-2</v>
      </c>
      <c r="W21" s="105">
        <v>8748384.4399999995</v>
      </c>
      <c r="X21" s="28">
        <f t="shared" si="4"/>
        <v>7.8814274234234233E-2</v>
      </c>
      <c r="Y21" s="5"/>
      <c r="Z21" s="5"/>
      <c r="AA21" s="5"/>
    </row>
    <row r="22" spans="1:27" ht="63" customHeight="1">
      <c r="A22" s="22" t="s">
        <v>48</v>
      </c>
      <c r="B22" s="23" t="s">
        <v>49</v>
      </c>
      <c r="C22" s="23" t="s">
        <v>50</v>
      </c>
      <c r="D22" s="23" t="s">
        <v>69</v>
      </c>
      <c r="E22" s="23" t="s">
        <v>65</v>
      </c>
      <c r="F22" s="23" t="s">
        <v>70</v>
      </c>
      <c r="G22" s="23" t="s">
        <v>54</v>
      </c>
      <c r="H22" s="104" t="s">
        <v>148</v>
      </c>
      <c r="I22" s="23" t="s">
        <v>56</v>
      </c>
      <c r="J22" s="31">
        <v>1</v>
      </c>
      <c r="K22" s="105">
        <v>131100000</v>
      </c>
      <c r="L22" s="105">
        <v>303000</v>
      </c>
      <c r="M22" s="105">
        <v>303000</v>
      </c>
      <c r="N22" s="26">
        <f t="shared" si="0"/>
        <v>131100000</v>
      </c>
      <c r="O22" s="27"/>
      <c r="P22" s="27"/>
      <c r="Q22" s="27"/>
      <c r="R22" s="26">
        <f t="shared" si="1"/>
        <v>131100000</v>
      </c>
      <c r="S22" s="105">
        <v>11693387.26</v>
      </c>
      <c r="T22" s="28">
        <f t="shared" si="2"/>
        <v>8.9194410831426388E-2</v>
      </c>
      <c r="U22" s="107">
        <v>11693387.26</v>
      </c>
      <c r="V22" s="28">
        <f t="shared" si="3"/>
        <v>8.9194410831426388E-2</v>
      </c>
      <c r="W22" s="105">
        <v>11385405.73</v>
      </c>
      <c r="X22" s="28">
        <f t="shared" si="4"/>
        <v>8.6845200076277648E-2</v>
      </c>
      <c r="Y22" s="5"/>
      <c r="Z22" s="5"/>
      <c r="AA22" s="5"/>
    </row>
    <row r="23" spans="1:27" ht="63" customHeight="1">
      <c r="A23" s="22" t="s">
        <v>48</v>
      </c>
      <c r="B23" s="23" t="s">
        <v>49</v>
      </c>
      <c r="C23" s="23" t="s">
        <v>50</v>
      </c>
      <c r="D23" s="23" t="s">
        <v>71</v>
      </c>
      <c r="E23" s="23" t="s">
        <v>65</v>
      </c>
      <c r="F23" s="23" t="s">
        <v>72</v>
      </c>
      <c r="G23" s="23" t="s">
        <v>54</v>
      </c>
      <c r="H23" s="104" t="s">
        <v>148</v>
      </c>
      <c r="I23" s="23" t="s">
        <v>56</v>
      </c>
      <c r="J23" s="24">
        <v>3</v>
      </c>
      <c r="K23" s="105">
        <v>24100000</v>
      </c>
      <c r="L23" s="105">
        <v>0</v>
      </c>
      <c r="M23" s="105">
        <v>0</v>
      </c>
      <c r="N23" s="26">
        <f t="shared" si="0"/>
        <v>24100000</v>
      </c>
      <c r="O23" s="27"/>
      <c r="P23" s="27"/>
      <c r="Q23" s="27"/>
      <c r="R23" s="26">
        <f t="shared" si="1"/>
        <v>24100000</v>
      </c>
      <c r="S23" s="105">
        <v>1931632.28</v>
      </c>
      <c r="T23" s="28">
        <f t="shared" si="2"/>
        <v>8.0150717012448136E-2</v>
      </c>
      <c r="U23" s="106">
        <v>1931632.28</v>
      </c>
      <c r="V23" s="28">
        <f t="shared" si="3"/>
        <v>8.0150717012448136E-2</v>
      </c>
      <c r="W23" s="105">
        <v>1931632.28</v>
      </c>
      <c r="X23" s="28">
        <f t="shared" si="4"/>
        <v>8.0150717012448136E-2</v>
      </c>
      <c r="Y23" s="5"/>
      <c r="Z23" s="5"/>
      <c r="AA23" s="5"/>
    </row>
    <row r="24" spans="1:27" ht="63" hidden="1" customHeight="1">
      <c r="A24" s="22" t="s">
        <v>48</v>
      </c>
      <c r="B24" s="23" t="s">
        <v>49</v>
      </c>
      <c r="C24" s="23" t="s">
        <v>73</v>
      </c>
      <c r="D24" s="23" t="s">
        <v>74</v>
      </c>
      <c r="E24" s="23" t="s">
        <v>65</v>
      </c>
      <c r="F24" s="23" t="s">
        <v>75</v>
      </c>
      <c r="G24" s="23" t="s">
        <v>54</v>
      </c>
      <c r="H24" s="23" t="s">
        <v>55</v>
      </c>
      <c r="I24" s="23" t="s">
        <v>63</v>
      </c>
      <c r="J24" s="24">
        <v>3</v>
      </c>
      <c r="K24" s="25"/>
      <c r="L24" s="25"/>
      <c r="M24" s="25"/>
      <c r="N24" s="26">
        <f t="shared" si="0"/>
        <v>0</v>
      </c>
      <c r="O24" s="27"/>
      <c r="P24" s="27"/>
      <c r="Q24" s="27"/>
      <c r="R24" s="26">
        <f t="shared" si="1"/>
        <v>0</v>
      </c>
      <c r="S24" s="25"/>
      <c r="T24" s="28">
        <f t="shared" si="2"/>
        <v>0</v>
      </c>
      <c r="U24" s="29"/>
      <c r="V24" s="28">
        <f t="shared" si="3"/>
        <v>0</v>
      </c>
      <c r="W24" s="25"/>
      <c r="X24" s="28">
        <f t="shared" si="4"/>
        <v>0</v>
      </c>
      <c r="Y24" s="5"/>
      <c r="Z24" s="5"/>
      <c r="AA24" s="5"/>
    </row>
    <row r="25" spans="1:27" ht="63" customHeight="1">
      <c r="A25" s="22" t="s">
        <v>48</v>
      </c>
      <c r="B25" s="23" t="s">
        <v>49</v>
      </c>
      <c r="C25" s="23" t="s">
        <v>76</v>
      </c>
      <c r="D25" s="23" t="s">
        <v>77</v>
      </c>
      <c r="E25" s="33" t="s">
        <v>65</v>
      </c>
      <c r="F25" s="23" t="s">
        <v>78</v>
      </c>
      <c r="G25" s="23" t="s">
        <v>54</v>
      </c>
      <c r="H25" s="104" t="s">
        <v>148</v>
      </c>
      <c r="I25" s="23" t="s">
        <v>56</v>
      </c>
      <c r="J25" s="31">
        <v>1</v>
      </c>
      <c r="K25" s="108">
        <v>120000</v>
      </c>
      <c r="L25" s="105">
        <v>0</v>
      </c>
      <c r="M25" s="105">
        <v>0</v>
      </c>
      <c r="N25" s="26">
        <f t="shared" si="0"/>
        <v>120000</v>
      </c>
      <c r="O25" s="26"/>
      <c r="P25" s="26"/>
      <c r="Q25" s="26"/>
      <c r="R25" s="26">
        <f t="shared" si="1"/>
        <v>120000</v>
      </c>
      <c r="S25" s="109">
        <v>3390</v>
      </c>
      <c r="T25" s="28">
        <f t="shared" si="2"/>
        <v>2.8250000000000001E-2</v>
      </c>
      <c r="U25" s="107">
        <v>3390</v>
      </c>
      <c r="V25" s="28">
        <f t="shared" si="3"/>
        <v>2.8250000000000001E-2</v>
      </c>
      <c r="W25" s="105">
        <v>3390</v>
      </c>
      <c r="X25" s="28">
        <f t="shared" si="4"/>
        <v>2.8250000000000001E-2</v>
      </c>
      <c r="Y25" s="5"/>
      <c r="Z25" s="5"/>
      <c r="AA25" s="5"/>
    </row>
    <row r="26" spans="1:27" ht="63" customHeight="1">
      <c r="A26" s="22" t="s">
        <v>48</v>
      </c>
      <c r="B26" s="23" t="s">
        <v>49</v>
      </c>
      <c r="C26" s="23" t="s">
        <v>79</v>
      </c>
      <c r="D26" s="23" t="s">
        <v>80</v>
      </c>
      <c r="E26" s="23" t="s">
        <v>65</v>
      </c>
      <c r="F26" s="23" t="s">
        <v>81</v>
      </c>
      <c r="G26" s="23" t="s">
        <v>54</v>
      </c>
      <c r="H26" s="104" t="s">
        <v>148</v>
      </c>
      <c r="I26" s="23" t="s">
        <v>63</v>
      </c>
      <c r="J26" s="31">
        <v>1</v>
      </c>
      <c r="K26" s="25">
        <f>115250000-K27</f>
        <v>109500000</v>
      </c>
      <c r="L26" s="105">
        <v>3160000</v>
      </c>
      <c r="M26" s="105">
        <v>3160000</v>
      </c>
      <c r="N26" s="26">
        <f t="shared" si="0"/>
        <v>109500000</v>
      </c>
      <c r="O26" s="26"/>
      <c r="P26" s="26"/>
      <c r="Q26" s="26"/>
      <c r="R26" s="26">
        <f t="shared" si="1"/>
        <v>109500000</v>
      </c>
      <c r="S26" s="25">
        <f>7560819.59-S27</f>
        <v>7122568.8399999999</v>
      </c>
      <c r="T26" s="28">
        <f t="shared" si="2"/>
        <v>6.5046290776255705E-2</v>
      </c>
      <c r="U26" s="32">
        <f>7460819.59-U27</f>
        <v>7022568.8399999999</v>
      </c>
      <c r="V26" s="28">
        <f t="shared" si="3"/>
        <v>6.413304876712328E-2</v>
      </c>
      <c r="W26" s="25">
        <f>7460819.59-W27</f>
        <v>7022568.8399999999</v>
      </c>
      <c r="X26" s="28">
        <f t="shared" si="4"/>
        <v>6.413304876712328E-2</v>
      </c>
      <c r="Y26" s="5"/>
      <c r="Z26" s="5"/>
      <c r="AA26" s="5"/>
    </row>
    <row r="27" spans="1:27" ht="63" customHeight="1">
      <c r="A27" s="22" t="s">
        <v>48</v>
      </c>
      <c r="B27" s="23" t="s">
        <v>49</v>
      </c>
      <c r="C27" s="23" t="s">
        <v>79</v>
      </c>
      <c r="D27" s="23" t="s">
        <v>80</v>
      </c>
      <c r="E27" s="23" t="s">
        <v>65</v>
      </c>
      <c r="F27" s="23" t="s">
        <v>81</v>
      </c>
      <c r="G27" s="23" t="s">
        <v>54</v>
      </c>
      <c r="H27" s="104" t="s">
        <v>148</v>
      </c>
      <c r="I27" s="23" t="s">
        <v>63</v>
      </c>
      <c r="J27" s="24">
        <v>3</v>
      </c>
      <c r="K27" s="105">
        <v>5750000</v>
      </c>
      <c r="L27" s="25"/>
      <c r="M27" s="25"/>
      <c r="N27" s="26">
        <f t="shared" si="0"/>
        <v>5750000</v>
      </c>
      <c r="O27" s="26"/>
      <c r="P27" s="26"/>
      <c r="Q27" s="26"/>
      <c r="R27" s="26">
        <f t="shared" si="1"/>
        <v>5750000</v>
      </c>
      <c r="S27" s="105">
        <v>438250.75</v>
      </c>
      <c r="T27" s="28">
        <f t="shared" si="2"/>
        <v>7.6217521739130434E-2</v>
      </c>
      <c r="U27" s="106">
        <v>438250.75</v>
      </c>
      <c r="V27" s="28">
        <f t="shared" si="3"/>
        <v>7.6217521739130434E-2</v>
      </c>
      <c r="W27" s="105">
        <v>438250.75</v>
      </c>
      <c r="X27" s="28">
        <f t="shared" si="4"/>
        <v>7.6217521739130434E-2</v>
      </c>
      <c r="Y27" s="5"/>
      <c r="Z27" s="5"/>
      <c r="AA27" s="5"/>
    </row>
    <row r="28" spans="1:27" ht="63" hidden="1" customHeight="1">
      <c r="A28" s="22" t="s">
        <v>48</v>
      </c>
      <c r="B28" s="23" t="s">
        <v>49</v>
      </c>
      <c r="C28" s="23" t="s">
        <v>79</v>
      </c>
      <c r="D28" s="23" t="s">
        <v>80</v>
      </c>
      <c r="E28" s="23" t="s">
        <v>65</v>
      </c>
      <c r="F28" s="23" t="s">
        <v>81</v>
      </c>
      <c r="G28" s="23" t="s">
        <v>54</v>
      </c>
      <c r="H28" s="23" t="s">
        <v>82</v>
      </c>
      <c r="I28" s="23" t="s">
        <v>63</v>
      </c>
      <c r="J28" s="31">
        <v>1</v>
      </c>
      <c r="K28" s="25"/>
      <c r="L28" s="25"/>
      <c r="M28" s="25"/>
      <c r="N28" s="26">
        <f t="shared" si="0"/>
        <v>0</v>
      </c>
      <c r="O28" s="26"/>
      <c r="P28" s="26"/>
      <c r="Q28" s="26"/>
      <c r="R28" s="26">
        <f t="shared" si="1"/>
        <v>0</v>
      </c>
      <c r="S28" s="25"/>
      <c r="T28" s="28">
        <f t="shared" si="2"/>
        <v>0</v>
      </c>
      <c r="U28" s="32"/>
      <c r="V28" s="28">
        <f t="shared" si="3"/>
        <v>0</v>
      </c>
      <c r="W28" s="25"/>
      <c r="X28" s="28">
        <f t="shared" si="4"/>
        <v>0</v>
      </c>
      <c r="Y28" s="5"/>
      <c r="Z28" s="5"/>
      <c r="AA28" s="5"/>
    </row>
    <row r="29" spans="1:27" ht="63" customHeight="1">
      <c r="A29" s="22" t="s">
        <v>48</v>
      </c>
      <c r="B29" s="23" t="s">
        <v>49</v>
      </c>
      <c r="C29" s="23" t="s">
        <v>83</v>
      </c>
      <c r="D29" s="23" t="s">
        <v>84</v>
      </c>
      <c r="E29" s="23" t="s">
        <v>65</v>
      </c>
      <c r="F29" s="23" t="s">
        <v>85</v>
      </c>
      <c r="G29" s="23" t="s">
        <v>54</v>
      </c>
      <c r="H29" s="104" t="s">
        <v>148</v>
      </c>
      <c r="I29" s="23" t="s">
        <v>63</v>
      </c>
      <c r="J29" s="31">
        <v>1</v>
      </c>
      <c r="K29" s="105">
        <v>73000</v>
      </c>
      <c r="L29" s="25"/>
      <c r="M29" s="25"/>
      <c r="N29" s="26">
        <f t="shared" si="0"/>
        <v>73000</v>
      </c>
      <c r="O29" s="26"/>
      <c r="P29" s="26"/>
      <c r="Q29" s="26"/>
      <c r="R29" s="26">
        <f t="shared" si="1"/>
        <v>73000</v>
      </c>
      <c r="S29" s="25"/>
      <c r="T29" s="28">
        <f t="shared" si="2"/>
        <v>0</v>
      </c>
      <c r="U29" s="32"/>
      <c r="V29" s="28">
        <f t="shared" si="3"/>
        <v>0</v>
      </c>
      <c r="W29" s="25"/>
      <c r="X29" s="28">
        <f t="shared" si="4"/>
        <v>0</v>
      </c>
      <c r="Y29" s="5"/>
      <c r="Z29" s="5"/>
      <c r="AA29" s="5"/>
    </row>
    <row r="30" spans="1:27" ht="63" hidden="1" customHeight="1">
      <c r="A30" s="22" t="s">
        <v>48</v>
      </c>
      <c r="B30" s="23" t="s">
        <v>49</v>
      </c>
      <c r="C30" s="23" t="s">
        <v>83</v>
      </c>
      <c r="D30" s="23" t="s">
        <v>84</v>
      </c>
      <c r="E30" s="23" t="s">
        <v>65</v>
      </c>
      <c r="F30" s="23" t="s">
        <v>85</v>
      </c>
      <c r="G30" s="23" t="s">
        <v>54</v>
      </c>
      <c r="H30" s="23" t="s">
        <v>82</v>
      </c>
      <c r="I30" s="23" t="s">
        <v>63</v>
      </c>
      <c r="J30" s="31">
        <v>1</v>
      </c>
      <c r="K30" s="25"/>
      <c r="L30" s="25"/>
      <c r="M30" s="25"/>
      <c r="N30" s="26">
        <f t="shared" si="0"/>
        <v>0</v>
      </c>
      <c r="O30" s="26"/>
      <c r="P30" s="26"/>
      <c r="Q30" s="26"/>
      <c r="R30" s="26">
        <f t="shared" si="1"/>
        <v>0</v>
      </c>
      <c r="S30" s="25"/>
      <c r="T30" s="28">
        <f t="shared" si="2"/>
        <v>0</v>
      </c>
      <c r="U30" s="32"/>
      <c r="V30" s="28">
        <f t="shared" si="3"/>
        <v>0</v>
      </c>
      <c r="W30" s="25"/>
      <c r="X30" s="28">
        <f t="shared" si="4"/>
        <v>0</v>
      </c>
      <c r="Y30" s="5"/>
      <c r="Z30" s="5"/>
      <c r="AA30" s="5"/>
    </row>
    <row r="31" spans="1:27" ht="16.5" customHeight="1">
      <c r="A31" s="141" t="s">
        <v>86</v>
      </c>
      <c r="B31" s="142"/>
      <c r="C31" s="142"/>
      <c r="D31" s="142"/>
      <c r="E31" s="142"/>
      <c r="F31" s="142"/>
      <c r="G31" s="142"/>
      <c r="H31" s="142"/>
      <c r="I31" s="142"/>
      <c r="J31" s="137"/>
      <c r="K31" s="39">
        <f t="shared" ref="K31:N31" si="5">SUM(K15:K30)</f>
        <v>943786000</v>
      </c>
      <c r="L31" s="39">
        <f t="shared" si="5"/>
        <v>6436000</v>
      </c>
      <c r="M31" s="39">
        <f t="shared" si="5"/>
        <v>6436000</v>
      </c>
      <c r="N31" s="39">
        <f t="shared" si="5"/>
        <v>943786000</v>
      </c>
      <c r="O31" s="39">
        <f t="shared" ref="O31:P31" si="6">SUM(O15:O29)</f>
        <v>0</v>
      </c>
      <c r="P31" s="39">
        <f t="shared" si="6"/>
        <v>0</v>
      </c>
      <c r="Q31" s="39">
        <f t="shared" ref="Q31:S31" si="7">SUM(Q15:Q30)</f>
        <v>0</v>
      </c>
      <c r="R31" s="39">
        <f t="shared" si="7"/>
        <v>943786000</v>
      </c>
      <c r="S31" s="39">
        <f t="shared" si="7"/>
        <v>73760148.840000004</v>
      </c>
      <c r="T31" s="40">
        <f t="shared" si="2"/>
        <v>7.8153467883609218E-2</v>
      </c>
      <c r="U31" s="39">
        <f>SUM(U15:U30)</f>
        <v>73649967.849999994</v>
      </c>
      <c r="V31" s="40">
        <f t="shared" si="3"/>
        <v>7.8036724268001428E-2</v>
      </c>
      <c r="W31" s="39">
        <f>SUM(W15:W30)</f>
        <v>72231034.870000005</v>
      </c>
      <c r="X31" s="40">
        <f t="shared" si="4"/>
        <v>7.6533276473692138E-2</v>
      </c>
      <c r="Y31" s="5"/>
      <c r="Z31" s="5"/>
      <c r="AA31" s="5"/>
    </row>
    <row r="32" spans="1:27" ht="15" customHeight="1">
      <c r="A32" s="41"/>
      <c r="B32" s="41"/>
      <c r="C32" s="41"/>
      <c r="D32" s="41"/>
      <c r="E32" s="41"/>
      <c r="F32" s="41"/>
      <c r="G32" s="41"/>
      <c r="H32" s="41"/>
      <c r="I32" s="41"/>
      <c r="J32" s="41"/>
      <c r="K32" s="39"/>
      <c r="L32" s="39"/>
      <c r="M32" s="39"/>
      <c r="N32" s="39"/>
      <c r="O32" s="39"/>
      <c r="P32" s="39"/>
      <c r="Q32" s="39"/>
      <c r="R32" s="39"/>
      <c r="S32" s="39"/>
      <c r="T32" s="40"/>
      <c r="U32" s="39"/>
      <c r="V32" s="40"/>
      <c r="W32" s="39"/>
      <c r="X32" s="40"/>
      <c r="Y32" s="5"/>
      <c r="Z32" s="5"/>
      <c r="AA32" s="5"/>
    </row>
    <row r="33" spans="1:27" ht="15" customHeight="1">
      <c r="A33" s="42"/>
      <c r="B33" s="42"/>
      <c r="C33" s="42"/>
      <c r="D33" s="42"/>
      <c r="E33" s="42"/>
      <c r="F33" s="42"/>
      <c r="G33" s="42"/>
      <c r="H33" s="42"/>
      <c r="I33" s="42"/>
      <c r="J33" s="42"/>
      <c r="K33" s="43"/>
      <c r="L33" s="43"/>
      <c r="M33" s="43"/>
      <c r="N33" s="43"/>
      <c r="O33" s="43"/>
      <c r="P33" s="43"/>
      <c r="Q33" s="43"/>
      <c r="R33" s="43"/>
      <c r="S33" s="43"/>
      <c r="T33" s="38"/>
      <c r="U33" s="43"/>
      <c r="V33" s="38"/>
      <c r="W33" s="43"/>
      <c r="X33" s="38"/>
      <c r="Y33" s="5"/>
      <c r="Z33" s="5"/>
      <c r="AA33" s="5"/>
    </row>
    <row r="34" spans="1:27" ht="54" customHeight="1">
      <c r="A34" s="22" t="s">
        <v>87</v>
      </c>
      <c r="B34" s="23" t="s">
        <v>88</v>
      </c>
      <c r="C34" s="23" t="s">
        <v>50</v>
      </c>
      <c r="D34" s="23" t="s">
        <v>89</v>
      </c>
      <c r="E34" s="33" t="s">
        <v>90</v>
      </c>
      <c r="F34" s="23" t="s">
        <v>91</v>
      </c>
      <c r="G34" s="23" t="s">
        <v>54</v>
      </c>
      <c r="H34" s="104" t="s">
        <v>150</v>
      </c>
      <c r="I34" s="23" t="s">
        <v>56</v>
      </c>
      <c r="J34" s="44">
        <v>4</v>
      </c>
      <c r="K34" s="112">
        <v>4000000</v>
      </c>
      <c r="L34" s="105">
        <v>0</v>
      </c>
      <c r="M34" s="105">
        <v>1064601.94</v>
      </c>
      <c r="N34" s="26">
        <f t="shared" ref="N34:N76" si="8">K34+L34-M34</f>
        <v>2935398.06</v>
      </c>
      <c r="O34" s="26"/>
      <c r="P34" s="26"/>
      <c r="Q34" s="26"/>
      <c r="R34" s="26">
        <f t="shared" ref="R34:R76" si="9">N34-O34+P34+Q34</f>
        <v>2935398.06</v>
      </c>
      <c r="S34" s="112">
        <v>0</v>
      </c>
      <c r="T34" s="28">
        <f t="shared" ref="T34:T78" si="10">IF(R34&gt;0,S34/R34,0)</f>
        <v>0</v>
      </c>
      <c r="U34" s="113">
        <v>0</v>
      </c>
      <c r="V34" s="28">
        <f t="shared" ref="V34:V78" si="11">IF(R34&gt;0,U34/R34,0)</f>
        <v>0</v>
      </c>
      <c r="W34" s="25">
        <v>0</v>
      </c>
      <c r="X34" s="28">
        <f t="shared" ref="X34:X78" si="12">IF(R34&gt;0,W34/R34,0)</f>
        <v>0</v>
      </c>
      <c r="Y34" s="5"/>
      <c r="Z34" s="5"/>
      <c r="AA34" s="5"/>
    </row>
    <row r="35" spans="1:27" ht="54" hidden="1" customHeight="1">
      <c r="A35" s="22" t="s">
        <v>87</v>
      </c>
      <c r="B35" s="23" t="s">
        <v>88</v>
      </c>
      <c r="C35" s="23" t="s">
        <v>50</v>
      </c>
      <c r="D35" s="23" t="s">
        <v>93</v>
      </c>
      <c r="E35" s="33" t="s">
        <v>90</v>
      </c>
      <c r="F35" s="23" t="s">
        <v>91</v>
      </c>
      <c r="G35" s="23" t="s">
        <v>54</v>
      </c>
      <c r="H35" s="23" t="s">
        <v>94</v>
      </c>
      <c r="I35" s="23" t="s">
        <v>56</v>
      </c>
      <c r="J35" s="24">
        <v>3</v>
      </c>
      <c r="K35" s="45"/>
      <c r="L35" s="25"/>
      <c r="M35" s="25"/>
      <c r="N35" s="26">
        <f t="shared" si="8"/>
        <v>0</v>
      </c>
      <c r="O35" s="26"/>
      <c r="P35" s="26"/>
      <c r="Q35" s="26"/>
      <c r="R35" s="26">
        <f t="shared" si="9"/>
        <v>0</v>
      </c>
      <c r="S35" s="45"/>
      <c r="T35" s="28">
        <f t="shared" si="10"/>
        <v>0</v>
      </c>
      <c r="U35" s="29"/>
      <c r="V35" s="28">
        <f t="shared" si="11"/>
        <v>0</v>
      </c>
      <c r="W35" s="25"/>
      <c r="X35" s="28">
        <f t="shared" si="12"/>
        <v>0</v>
      </c>
      <c r="Y35" s="5"/>
      <c r="Z35" s="5"/>
      <c r="AA35" s="5"/>
    </row>
    <row r="36" spans="1:27" ht="54" hidden="1" customHeight="1">
      <c r="A36" s="22" t="s">
        <v>87</v>
      </c>
      <c r="B36" s="23" t="s">
        <v>88</v>
      </c>
      <c r="C36" s="23" t="s">
        <v>50</v>
      </c>
      <c r="D36" s="23" t="s">
        <v>95</v>
      </c>
      <c r="E36" s="33" t="s">
        <v>90</v>
      </c>
      <c r="F36" s="23" t="s">
        <v>91</v>
      </c>
      <c r="G36" s="23" t="s">
        <v>54</v>
      </c>
      <c r="H36" s="23" t="s">
        <v>94</v>
      </c>
      <c r="I36" s="23" t="s">
        <v>56</v>
      </c>
      <c r="J36" s="44">
        <v>4</v>
      </c>
      <c r="K36" s="45"/>
      <c r="L36" s="25"/>
      <c r="M36" s="25"/>
      <c r="N36" s="26">
        <f t="shared" si="8"/>
        <v>0</v>
      </c>
      <c r="O36" s="26"/>
      <c r="P36" s="26"/>
      <c r="Q36" s="26"/>
      <c r="R36" s="26">
        <f t="shared" si="9"/>
        <v>0</v>
      </c>
      <c r="S36" s="45"/>
      <c r="T36" s="28">
        <f t="shared" si="10"/>
        <v>0</v>
      </c>
      <c r="U36" s="46"/>
      <c r="V36" s="28">
        <f t="shared" si="11"/>
        <v>0</v>
      </c>
      <c r="W36" s="25"/>
      <c r="X36" s="28">
        <f t="shared" si="12"/>
        <v>0</v>
      </c>
      <c r="Y36" s="5"/>
      <c r="Z36" s="5"/>
      <c r="AA36" s="5"/>
    </row>
    <row r="37" spans="1:27" ht="54" hidden="1" customHeight="1">
      <c r="A37" s="22" t="s">
        <v>87</v>
      </c>
      <c r="B37" s="23" t="s">
        <v>88</v>
      </c>
      <c r="C37" s="23" t="s">
        <v>50</v>
      </c>
      <c r="D37" s="23" t="s">
        <v>96</v>
      </c>
      <c r="E37" s="33" t="s">
        <v>90</v>
      </c>
      <c r="F37" s="23" t="s">
        <v>91</v>
      </c>
      <c r="G37" s="23" t="s">
        <v>54</v>
      </c>
      <c r="H37" s="23" t="s">
        <v>92</v>
      </c>
      <c r="I37" s="23" t="s">
        <v>56</v>
      </c>
      <c r="J37" s="24">
        <v>3</v>
      </c>
      <c r="K37" s="45"/>
      <c r="L37" s="25"/>
      <c r="M37" s="25"/>
      <c r="N37" s="26">
        <f t="shared" si="8"/>
        <v>0</v>
      </c>
      <c r="O37" s="26"/>
      <c r="P37" s="26"/>
      <c r="Q37" s="26"/>
      <c r="R37" s="26">
        <f t="shared" si="9"/>
        <v>0</v>
      </c>
      <c r="S37" s="45"/>
      <c r="T37" s="28">
        <f t="shared" si="10"/>
        <v>0</v>
      </c>
      <c r="U37" s="29"/>
      <c r="V37" s="28">
        <f t="shared" si="11"/>
        <v>0</v>
      </c>
      <c r="W37" s="25"/>
      <c r="X37" s="28">
        <f t="shared" si="12"/>
        <v>0</v>
      </c>
      <c r="Y37" s="5"/>
      <c r="Z37" s="5"/>
      <c r="AA37" s="5"/>
    </row>
    <row r="38" spans="1:27" ht="54" hidden="1" customHeight="1">
      <c r="A38" s="47" t="s">
        <v>87</v>
      </c>
      <c r="B38" s="23" t="s">
        <v>88</v>
      </c>
      <c r="C38" s="48" t="s">
        <v>50</v>
      </c>
      <c r="D38" s="48" t="s">
        <v>96</v>
      </c>
      <c r="E38" s="33" t="s">
        <v>90</v>
      </c>
      <c r="F38" s="23" t="s">
        <v>91</v>
      </c>
      <c r="G38" s="48" t="s">
        <v>54</v>
      </c>
      <c r="H38" s="48" t="s">
        <v>94</v>
      </c>
      <c r="I38" s="23" t="s">
        <v>56</v>
      </c>
      <c r="J38" s="49">
        <v>4</v>
      </c>
      <c r="K38" s="45"/>
      <c r="L38" s="50"/>
      <c r="M38" s="50"/>
      <c r="N38" s="26">
        <f t="shared" si="8"/>
        <v>0</v>
      </c>
      <c r="O38" s="51"/>
      <c r="P38" s="51"/>
      <c r="Q38" s="51"/>
      <c r="R38" s="26">
        <f t="shared" si="9"/>
        <v>0</v>
      </c>
      <c r="S38" s="52"/>
      <c r="T38" s="28">
        <f t="shared" si="10"/>
        <v>0</v>
      </c>
      <c r="U38" s="53"/>
      <c r="V38" s="28">
        <f t="shared" si="11"/>
        <v>0</v>
      </c>
      <c r="W38" s="50"/>
      <c r="X38" s="28">
        <f t="shared" si="12"/>
        <v>0</v>
      </c>
      <c r="Y38" s="5"/>
      <c r="Z38" s="5"/>
      <c r="AA38" s="5"/>
    </row>
    <row r="39" spans="1:27" ht="54" customHeight="1">
      <c r="A39" s="22" t="s">
        <v>87</v>
      </c>
      <c r="B39" s="23" t="s">
        <v>88</v>
      </c>
      <c r="C39" s="23" t="s">
        <v>50</v>
      </c>
      <c r="D39" s="23" t="s">
        <v>97</v>
      </c>
      <c r="E39" s="33" t="s">
        <v>90</v>
      </c>
      <c r="F39" s="23" t="s">
        <v>91</v>
      </c>
      <c r="G39" s="23" t="s">
        <v>54</v>
      </c>
      <c r="H39" s="104" t="s">
        <v>150</v>
      </c>
      <c r="I39" s="23" t="s">
        <v>56</v>
      </c>
      <c r="J39" s="24">
        <v>3</v>
      </c>
      <c r="K39" s="108">
        <v>0</v>
      </c>
      <c r="L39" s="105">
        <v>441781.15</v>
      </c>
      <c r="M39" s="105">
        <v>0</v>
      </c>
      <c r="N39" s="26">
        <f t="shared" si="8"/>
        <v>441781.15</v>
      </c>
      <c r="O39" s="27"/>
      <c r="P39" s="27"/>
      <c r="Q39" s="27"/>
      <c r="R39" s="26">
        <f t="shared" si="9"/>
        <v>441781.15</v>
      </c>
      <c r="S39" s="110">
        <v>387981.41</v>
      </c>
      <c r="T39" s="28">
        <f t="shared" si="10"/>
        <v>0.87822083400344253</v>
      </c>
      <c r="U39" s="106">
        <v>0</v>
      </c>
      <c r="V39" s="28">
        <f t="shared" si="11"/>
        <v>0</v>
      </c>
      <c r="W39" s="25">
        <v>0</v>
      </c>
      <c r="X39" s="28">
        <f t="shared" si="12"/>
        <v>0</v>
      </c>
      <c r="Y39" s="5"/>
      <c r="Z39" s="5"/>
      <c r="AA39" s="5"/>
    </row>
    <row r="40" spans="1:27" ht="54" hidden="1" customHeight="1">
      <c r="A40" s="22" t="s">
        <v>87</v>
      </c>
      <c r="B40" s="23" t="s">
        <v>88</v>
      </c>
      <c r="C40" s="23" t="s">
        <v>50</v>
      </c>
      <c r="D40" s="23" t="s">
        <v>97</v>
      </c>
      <c r="E40" s="33" t="s">
        <v>90</v>
      </c>
      <c r="F40" s="23" t="s">
        <v>91</v>
      </c>
      <c r="G40" s="23" t="s">
        <v>54</v>
      </c>
      <c r="H40" s="23" t="s">
        <v>92</v>
      </c>
      <c r="I40" s="23" t="s">
        <v>56</v>
      </c>
      <c r="J40" s="44">
        <v>4</v>
      </c>
      <c r="K40" s="34"/>
      <c r="L40" s="25"/>
      <c r="M40" s="25"/>
      <c r="N40" s="26">
        <f t="shared" si="8"/>
        <v>0</v>
      </c>
      <c r="O40" s="27"/>
      <c r="P40" s="27"/>
      <c r="Q40" s="27"/>
      <c r="R40" s="26">
        <f t="shared" si="9"/>
        <v>0</v>
      </c>
      <c r="S40" s="37"/>
      <c r="T40" s="28">
        <f t="shared" si="10"/>
        <v>0</v>
      </c>
      <c r="U40" s="46"/>
      <c r="V40" s="28">
        <f t="shared" si="11"/>
        <v>0</v>
      </c>
      <c r="W40" s="25">
        <v>0</v>
      </c>
      <c r="X40" s="28">
        <f t="shared" si="12"/>
        <v>0</v>
      </c>
      <c r="Y40" s="5"/>
      <c r="Z40" s="5"/>
      <c r="AA40" s="5"/>
    </row>
    <row r="41" spans="1:27" ht="54" hidden="1" customHeight="1">
      <c r="A41" s="22" t="s">
        <v>87</v>
      </c>
      <c r="B41" s="23" t="s">
        <v>88</v>
      </c>
      <c r="C41" s="23" t="s">
        <v>50</v>
      </c>
      <c r="D41" s="23" t="s">
        <v>97</v>
      </c>
      <c r="E41" s="33" t="s">
        <v>90</v>
      </c>
      <c r="F41" s="23" t="s">
        <v>91</v>
      </c>
      <c r="G41" s="23" t="s">
        <v>54</v>
      </c>
      <c r="H41" s="23" t="s">
        <v>94</v>
      </c>
      <c r="I41" s="23" t="s">
        <v>56</v>
      </c>
      <c r="J41" s="24">
        <v>3</v>
      </c>
      <c r="K41" s="34"/>
      <c r="L41" s="25"/>
      <c r="M41" s="25"/>
      <c r="N41" s="26">
        <f t="shared" si="8"/>
        <v>0</v>
      </c>
      <c r="O41" s="27"/>
      <c r="P41" s="27"/>
      <c r="Q41" s="27"/>
      <c r="R41" s="26">
        <f t="shared" si="9"/>
        <v>0</v>
      </c>
      <c r="S41" s="37"/>
      <c r="T41" s="28">
        <f t="shared" si="10"/>
        <v>0</v>
      </c>
      <c r="U41" s="29"/>
      <c r="V41" s="28">
        <f t="shared" si="11"/>
        <v>0</v>
      </c>
      <c r="W41" s="25">
        <v>0</v>
      </c>
      <c r="X41" s="28">
        <f t="shared" si="12"/>
        <v>0</v>
      </c>
      <c r="Y41" s="5"/>
      <c r="Z41" s="5"/>
      <c r="AA41" s="5"/>
    </row>
    <row r="42" spans="1:27" ht="54" customHeight="1">
      <c r="A42" s="22" t="s">
        <v>87</v>
      </c>
      <c r="B42" s="23" t="s">
        <v>88</v>
      </c>
      <c r="C42" s="23" t="s">
        <v>50</v>
      </c>
      <c r="D42" s="104" t="s">
        <v>97</v>
      </c>
      <c r="E42" s="33" t="s">
        <v>90</v>
      </c>
      <c r="F42" s="23" t="s">
        <v>91</v>
      </c>
      <c r="G42" s="23" t="s">
        <v>54</v>
      </c>
      <c r="H42" s="104" t="s">
        <v>150</v>
      </c>
      <c r="I42" s="23" t="s">
        <v>56</v>
      </c>
      <c r="J42" s="44">
        <v>4</v>
      </c>
      <c r="K42" s="108">
        <v>0</v>
      </c>
      <c r="L42" s="105">
        <v>622820.79</v>
      </c>
      <c r="M42" s="105">
        <v>0</v>
      </c>
      <c r="N42" s="26">
        <f t="shared" si="8"/>
        <v>622820.79</v>
      </c>
      <c r="O42" s="27"/>
      <c r="P42" s="27"/>
      <c r="Q42" s="27"/>
      <c r="R42" s="26">
        <f t="shared" si="9"/>
        <v>622820.79</v>
      </c>
      <c r="S42" s="37">
        <f>305000+317820.79</f>
        <v>622820.79</v>
      </c>
      <c r="T42" s="28">
        <f t="shared" si="10"/>
        <v>1</v>
      </c>
      <c r="U42" s="113">
        <v>0</v>
      </c>
      <c r="V42" s="28">
        <f t="shared" si="11"/>
        <v>0</v>
      </c>
      <c r="W42" s="35">
        <v>0</v>
      </c>
      <c r="X42" s="28">
        <f t="shared" si="12"/>
        <v>0</v>
      </c>
      <c r="Y42" s="5"/>
      <c r="Z42" s="5"/>
      <c r="AA42" s="5"/>
    </row>
    <row r="43" spans="1:27" ht="54" customHeight="1">
      <c r="A43" s="22" t="s">
        <v>87</v>
      </c>
      <c r="B43" s="23" t="s">
        <v>88</v>
      </c>
      <c r="C43" s="23" t="s">
        <v>50</v>
      </c>
      <c r="D43" s="104" t="s">
        <v>98</v>
      </c>
      <c r="E43" s="33" t="s">
        <v>90</v>
      </c>
      <c r="F43" s="104" t="s">
        <v>99</v>
      </c>
      <c r="G43" s="23" t="s">
        <v>54</v>
      </c>
      <c r="H43" s="104" t="s">
        <v>150</v>
      </c>
      <c r="I43" s="23" t="s">
        <v>56</v>
      </c>
      <c r="J43" s="44">
        <v>4</v>
      </c>
      <c r="K43" s="108">
        <v>16520000</v>
      </c>
      <c r="L43" s="105">
        <v>0</v>
      </c>
      <c r="M43" s="105">
        <v>9434675.1400000006</v>
      </c>
      <c r="N43" s="26">
        <f t="shared" si="8"/>
        <v>7085324.8599999994</v>
      </c>
      <c r="O43" s="26"/>
      <c r="P43" s="26"/>
      <c r="Q43" s="26"/>
      <c r="R43" s="26">
        <f t="shared" si="9"/>
        <v>7085324.8599999994</v>
      </c>
      <c r="S43" s="108">
        <v>0</v>
      </c>
      <c r="T43" s="28">
        <f t="shared" si="10"/>
        <v>0</v>
      </c>
      <c r="U43" s="113">
        <v>0</v>
      </c>
      <c r="V43" s="28">
        <f t="shared" si="11"/>
        <v>0</v>
      </c>
      <c r="W43" s="25">
        <v>0</v>
      </c>
      <c r="X43" s="28">
        <f t="shared" si="12"/>
        <v>0</v>
      </c>
      <c r="Y43" s="5"/>
      <c r="Z43" s="5"/>
      <c r="AA43" s="5"/>
    </row>
    <row r="44" spans="1:27" ht="54" customHeight="1">
      <c r="A44" s="22" t="s">
        <v>87</v>
      </c>
      <c r="B44" s="23" t="s">
        <v>88</v>
      </c>
      <c r="C44" s="23" t="s">
        <v>50</v>
      </c>
      <c r="D44" s="104" t="s">
        <v>151</v>
      </c>
      <c r="E44" s="33" t="s">
        <v>90</v>
      </c>
      <c r="F44" s="104" t="s">
        <v>99</v>
      </c>
      <c r="G44" s="23" t="s">
        <v>54</v>
      </c>
      <c r="H44" s="104" t="s">
        <v>150</v>
      </c>
      <c r="I44" s="23" t="s">
        <v>56</v>
      </c>
      <c r="J44" s="44">
        <v>4</v>
      </c>
      <c r="K44" s="108">
        <v>0</v>
      </c>
      <c r="L44" s="105">
        <v>3034594.58</v>
      </c>
      <c r="M44" s="105">
        <v>0</v>
      </c>
      <c r="N44" s="26">
        <f t="shared" si="8"/>
        <v>3034594.58</v>
      </c>
      <c r="O44" s="26"/>
      <c r="P44" s="26"/>
      <c r="Q44" s="26"/>
      <c r="R44" s="26">
        <f t="shared" si="9"/>
        <v>3034594.58</v>
      </c>
      <c r="S44" s="108">
        <v>3034594.58</v>
      </c>
      <c r="T44" s="28">
        <f t="shared" si="10"/>
        <v>1</v>
      </c>
      <c r="U44" s="113">
        <v>0</v>
      </c>
      <c r="V44" s="28">
        <f t="shared" si="11"/>
        <v>0</v>
      </c>
      <c r="W44" s="25">
        <v>0</v>
      </c>
      <c r="X44" s="28">
        <f t="shared" si="12"/>
        <v>0</v>
      </c>
      <c r="Y44" s="5"/>
      <c r="Z44" s="5"/>
      <c r="AA44" s="5"/>
    </row>
    <row r="45" spans="1:27" ht="54" customHeight="1">
      <c r="A45" s="22" t="s">
        <v>87</v>
      </c>
      <c r="B45" s="23" t="s">
        <v>88</v>
      </c>
      <c r="C45" s="23" t="s">
        <v>50</v>
      </c>
      <c r="D45" s="104" t="s">
        <v>152</v>
      </c>
      <c r="E45" s="33" t="s">
        <v>90</v>
      </c>
      <c r="F45" s="104" t="s">
        <v>99</v>
      </c>
      <c r="G45" s="23" t="s">
        <v>54</v>
      </c>
      <c r="H45" s="104" t="s">
        <v>150</v>
      </c>
      <c r="I45" s="23" t="s">
        <v>56</v>
      </c>
      <c r="J45" s="44">
        <v>4</v>
      </c>
      <c r="K45" s="108">
        <v>0</v>
      </c>
      <c r="L45" s="105">
        <v>6400080.5599999996</v>
      </c>
      <c r="M45" s="105">
        <v>0</v>
      </c>
      <c r="N45" s="26">
        <f t="shared" si="8"/>
        <v>6400080.5599999996</v>
      </c>
      <c r="O45" s="26"/>
      <c r="P45" s="26"/>
      <c r="Q45" s="26"/>
      <c r="R45" s="26">
        <f t="shared" si="9"/>
        <v>6400080.5599999996</v>
      </c>
      <c r="S45" s="108">
        <v>0</v>
      </c>
      <c r="T45" s="28">
        <f t="shared" si="10"/>
        <v>0</v>
      </c>
      <c r="U45" s="113">
        <v>0</v>
      </c>
      <c r="V45" s="28">
        <f t="shared" si="11"/>
        <v>0</v>
      </c>
      <c r="W45" s="25">
        <v>0</v>
      </c>
      <c r="X45" s="28">
        <f t="shared" si="12"/>
        <v>0</v>
      </c>
      <c r="Y45" s="5"/>
      <c r="Z45" s="5"/>
      <c r="AA45" s="5"/>
    </row>
    <row r="46" spans="1:27" ht="54" customHeight="1">
      <c r="A46" s="22" t="s">
        <v>87</v>
      </c>
      <c r="B46" s="23" t="s">
        <v>88</v>
      </c>
      <c r="C46" s="23" t="s">
        <v>50</v>
      </c>
      <c r="D46" s="104" t="s">
        <v>100</v>
      </c>
      <c r="E46" s="33" t="s">
        <v>90</v>
      </c>
      <c r="F46" s="104" t="s">
        <v>101</v>
      </c>
      <c r="G46" s="23" t="s">
        <v>54</v>
      </c>
      <c r="H46" s="104" t="s">
        <v>150</v>
      </c>
      <c r="I46" s="23" t="s">
        <v>56</v>
      </c>
      <c r="J46" s="44">
        <v>4</v>
      </c>
      <c r="K46" s="108">
        <v>100000</v>
      </c>
      <c r="L46" s="105">
        <v>0</v>
      </c>
      <c r="M46" s="105">
        <v>0</v>
      </c>
      <c r="N46" s="26">
        <f t="shared" si="8"/>
        <v>100000</v>
      </c>
      <c r="O46" s="26"/>
      <c r="P46" s="26"/>
      <c r="Q46" s="26"/>
      <c r="R46" s="26">
        <f t="shared" si="9"/>
        <v>100000</v>
      </c>
      <c r="S46" s="108">
        <v>0</v>
      </c>
      <c r="T46" s="28">
        <f t="shared" si="10"/>
        <v>0</v>
      </c>
      <c r="U46" s="113">
        <v>0</v>
      </c>
      <c r="V46" s="28">
        <f t="shared" si="11"/>
        <v>0</v>
      </c>
      <c r="W46" s="25">
        <v>0</v>
      </c>
      <c r="X46" s="28">
        <f t="shared" si="12"/>
        <v>0</v>
      </c>
      <c r="Y46" s="5"/>
      <c r="Z46" s="5"/>
      <c r="AA46" s="5"/>
    </row>
    <row r="47" spans="1:27" ht="54" customHeight="1">
      <c r="A47" s="22" t="s">
        <v>87</v>
      </c>
      <c r="B47" s="23" t="s">
        <v>88</v>
      </c>
      <c r="C47" s="23" t="s">
        <v>50</v>
      </c>
      <c r="D47" s="23" t="s">
        <v>51</v>
      </c>
      <c r="E47" s="33" t="s">
        <v>90</v>
      </c>
      <c r="F47" s="23" t="s">
        <v>102</v>
      </c>
      <c r="G47" s="23" t="s">
        <v>54</v>
      </c>
      <c r="H47" s="104" t="s">
        <v>150</v>
      </c>
      <c r="I47" s="23" t="s">
        <v>56</v>
      </c>
      <c r="J47" s="24">
        <v>3</v>
      </c>
      <c r="K47" s="34">
        <f>54800000-K48</f>
        <v>53000000</v>
      </c>
      <c r="L47" s="105">
        <v>0</v>
      </c>
      <c r="M47" s="105">
        <v>0</v>
      </c>
      <c r="N47" s="26">
        <f t="shared" si="8"/>
        <v>53000000</v>
      </c>
      <c r="O47" s="26"/>
      <c r="P47" s="26"/>
      <c r="Q47" s="26"/>
      <c r="R47" s="26">
        <f t="shared" si="9"/>
        <v>53000000</v>
      </c>
      <c r="S47" s="34">
        <f>21237409.32-S48</f>
        <v>21218374.32</v>
      </c>
      <c r="T47" s="28">
        <f t="shared" si="10"/>
        <v>0.40034668528301887</v>
      </c>
      <c r="U47" s="29">
        <f>1337545.04</f>
        <v>1337545.04</v>
      </c>
      <c r="V47" s="28">
        <f t="shared" si="11"/>
        <v>2.5236698867924529E-2</v>
      </c>
      <c r="W47" s="105">
        <v>1301665.1200000001</v>
      </c>
      <c r="X47" s="28">
        <f t="shared" si="12"/>
        <v>2.455971924528302E-2</v>
      </c>
      <c r="Y47" s="5"/>
      <c r="Z47" s="5"/>
      <c r="AA47" s="5"/>
    </row>
    <row r="48" spans="1:27" ht="54" customHeight="1">
      <c r="A48" s="22" t="s">
        <v>87</v>
      </c>
      <c r="B48" s="23" t="s">
        <v>88</v>
      </c>
      <c r="C48" s="23" t="s">
        <v>50</v>
      </c>
      <c r="D48" s="23" t="s">
        <v>51</v>
      </c>
      <c r="E48" s="33" t="s">
        <v>90</v>
      </c>
      <c r="F48" s="23" t="s">
        <v>102</v>
      </c>
      <c r="G48" s="23" t="s">
        <v>54</v>
      </c>
      <c r="H48" s="104" t="s">
        <v>153</v>
      </c>
      <c r="I48" s="23" t="s">
        <v>56</v>
      </c>
      <c r="J48" s="44">
        <v>4</v>
      </c>
      <c r="K48" s="108">
        <v>1800000</v>
      </c>
      <c r="L48" s="105">
        <v>0</v>
      </c>
      <c r="M48" s="105">
        <v>0</v>
      </c>
      <c r="N48" s="26">
        <f t="shared" si="8"/>
        <v>1800000</v>
      </c>
      <c r="O48" s="26"/>
      <c r="P48" s="26"/>
      <c r="Q48" s="26"/>
      <c r="R48" s="26">
        <f t="shared" si="9"/>
        <v>1800000</v>
      </c>
      <c r="S48" s="105">
        <v>19035</v>
      </c>
      <c r="T48" s="28">
        <f t="shared" si="10"/>
        <v>1.0574999999999999E-2</v>
      </c>
      <c r="U48" s="113">
        <v>0</v>
      </c>
      <c r="V48" s="28">
        <f t="shared" si="11"/>
        <v>0</v>
      </c>
      <c r="W48" s="25">
        <v>0</v>
      </c>
      <c r="X48" s="28">
        <f t="shared" si="12"/>
        <v>0</v>
      </c>
      <c r="Y48" s="5"/>
      <c r="Z48" s="5"/>
      <c r="AA48" s="5"/>
    </row>
    <row r="49" spans="1:27" ht="54" hidden="1" customHeight="1">
      <c r="A49" s="22" t="s">
        <v>87</v>
      </c>
      <c r="B49" s="33" t="s">
        <v>88</v>
      </c>
      <c r="C49" s="33" t="s">
        <v>50</v>
      </c>
      <c r="D49" s="33" t="s">
        <v>51</v>
      </c>
      <c r="E49" s="33" t="s">
        <v>90</v>
      </c>
      <c r="F49" s="23" t="s">
        <v>102</v>
      </c>
      <c r="G49" s="33" t="s">
        <v>54</v>
      </c>
      <c r="H49" s="33" t="s">
        <v>94</v>
      </c>
      <c r="I49" s="33" t="s">
        <v>56</v>
      </c>
      <c r="J49" s="24">
        <v>3</v>
      </c>
      <c r="K49" s="34"/>
      <c r="L49" s="35"/>
      <c r="M49" s="35"/>
      <c r="N49" s="36">
        <f t="shared" si="8"/>
        <v>0</v>
      </c>
      <c r="O49" s="36"/>
      <c r="P49" s="36"/>
      <c r="Q49" s="36"/>
      <c r="R49" s="36">
        <f t="shared" si="9"/>
        <v>0</v>
      </c>
      <c r="S49" s="35"/>
      <c r="T49" s="38">
        <f t="shared" si="10"/>
        <v>0</v>
      </c>
      <c r="U49" s="54"/>
      <c r="V49" s="38">
        <f t="shared" si="11"/>
        <v>0</v>
      </c>
      <c r="W49" s="35">
        <v>0</v>
      </c>
      <c r="X49" s="38">
        <f t="shared" si="12"/>
        <v>0</v>
      </c>
      <c r="Y49" s="5"/>
      <c r="Z49" s="5"/>
      <c r="AA49" s="5"/>
    </row>
    <row r="50" spans="1:27" ht="54" customHeight="1">
      <c r="A50" s="22" t="s">
        <v>87</v>
      </c>
      <c r="B50" s="33" t="s">
        <v>88</v>
      </c>
      <c r="C50" s="33" t="s">
        <v>50</v>
      </c>
      <c r="D50" s="33" t="s">
        <v>57</v>
      </c>
      <c r="E50" s="33" t="s">
        <v>90</v>
      </c>
      <c r="F50" s="33" t="s">
        <v>103</v>
      </c>
      <c r="G50" s="33" t="s">
        <v>54</v>
      </c>
      <c r="H50" s="114" t="s">
        <v>150</v>
      </c>
      <c r="I50" s="33" t="s">
        <v>56</v>
      </c>
      <c r="J50" s="24">
        <v>3</v>
      </c>
      <c r="K50" s="108">
        <v>65000</v>
      </c>
      <c r="L50" s="109">
        <v>0</v>
      </c>
      <c r="M50" s="109">
        <v>0</v>
      </c>
      <c r="N50" s="36">
        <f t="shared" si="8"/>
        <v>65000</v>
      </c>
      <c r="O50" s="36"/>
      <c r="P50" s="36"/>
      <c r="Q50" s="36"/>
      <c r="R50" s="36">
        <f t="shared" si="9"/>
        <v>65000</v>
      </c>
      <c r="S50" s="109">
        <v>0</v>
      </c>
      <c r="T50" s="38">
        <f t="shared" si="10"/>
        <v>0</v>
      </c>
      <c r="U50" s="115">
        <v>0</v>
      </c>
      <c r="V50" s="38">
        <f t="shared" si="11"/>
        <v>0</v>
      </c>
      <c r="W50" s="35">
        <v>0</v>
      </c>
      <c r="X50" s="38">
        <f t="shared" si="12"/>
        <v>0</v>
      </c>
      <c r="Y50" s="5"/>
      <c r="Z50" s="5"/>
      <c r="AA50" s="5"/>
    </row>
    <row r="51" spans="1:27" ht="54" hidden="1" customHeight="1">
      <c r="A51" s="22" t="s">
        <v>87</v>
      </c>
      <c r="B51" s="33" t="s">
        <v>88</v>
      </c>
      <c r="C51" s="33" t="s">
        <v>50</v>
      </c>
      <c r="D51" s="33" t="s">
        <v>57</v>
      </c>
      <c r="E51" s="33" t="s">
        <v>104</v>
      </c>
      <c r="F51" s="33" t="s">
        <v>103</v>
      </c>
      <c r="G51" s="33" t="s">
        <v>54</v>
      </c>
      <c r="H51" s="33" t="s">
        <v>94</v>
      </c>
      <c r="I51" s="33" t="s">
        <v>63</v>
      </c>
      <c r="J51" s="24">
        <v>3</v>
      </c>
      <c r="K51" s="34"/>
      <c r="L51" s="35"/>
      <c r="M51" s="35"/>
      <c r="N51" s="36">
        <f t="shared" si="8"/>
        <v>0</v>
      </c>
      <c r="O51" s="36"/>
      <c r="P51" s="36"/>
      <c r="Q51" s="36"/>
      <c r="R51" s="36">
        <f t="shared" si="9"/>
        <v>0</v>
      </c>
      <c r="S51" s="37"/>
      <c r="T51" s="38">
        <f t="shared" si="10"/>
        <v>0</v>
      </c>
      <c r="U51" s="54"/>
      <c r="V51" s="38">
        <f t="shared" si="11"/>
        <v>0</v>
      </c>
      <c r="W51" s="35">
        <v>0</v>
      </c>
      <c r="X51" s="38">
        <f t="shared" si="12"/>
        <v>0</v>
      </c>
      <c r="Y51" s="5"/>
      <c r="Z51" s="5"/>
      <c r="AA51" s="5"/>
    </row>
    <row r="52" spans="1:27" ht="54" customHeight="1">
      <c r="A52" s="22" t="s">
        <v>87</v>
      </c>
      <c r="B52" s="33" t="s">
        <v>88</v>
      </c>
      <c r="C52" s="33" t="s">
        <v>50</v>
      </c>
      <c r="D52" s="33" t="s">
        <v>105</v>
      </c>
      <c r="E52" s="33" t="s">
        <v>104</v>
      </c>
      <c r="F52" s="33" t="s">
        <v>106</v>
      </c>
      <c r="G52" s="33" t="s">
        <v>54</v>
      </c>
      <c r="H52" s="114" t="s">
        <v>150</v>
      </c>
      <c r="I52" s="33" t="s">
        <v>63</v>
      </c>
      <c r="J52" s="44">
        <v>4</v>
      </c>
      <c r="K52" s="108">
        <v>5000000</v>
      </c>
      <c r="L52" s="109">
        <v>0</v>
      </c>
      <c r="M52" s="109">
        <v>0</v>
      </c>
      <c r="N52" s="36">
        <f t="shared" si="8"/>
        <v>5000000</v>
      </c>
      <c r="O52" s="36"/>
      <c r="P52" s="36"/>
      <c r="Q52" s="36"/>
      <c r="R52" s="36">
        <f t="shared" si="9"/>
        <v>5000000</v>
      </c>
      <c r="S52" s="110">
        <v>0</v>
      </c>
      <c r="T52" s="38">
        <f t="shared" si="10"/>
        <v>0</v>
      </c>
      <c r="U52" s="113">
        <v>0</v>
      </c>
      <c r="V52" s="38">
        <f t="shared" si="11"/>
        <v>0</v>
      </c>
      <c r="W52" s="35">
        <v>0</v>
      </c>
      <c r="X52" s="38">
        <f t="shared" si="12"/>
        <v>0</v>
      </c>
      <c r="Y52" s="5"/>
      <c r="Z52" s="5"/>
      <c r="AA52" s="5"/>
    </row>
    <row r="53" spans="1:27" ht="54" customHeight="1">
      <c r="A53" s="22" t="s">
        <v>87</v>
      </c>
      <c r="B53" s="33" t="s">
        <v>88</v>
      </c>
      <c r="C53" s="33" t="s">
        <v>50</v>
      </c>
      <c r="D53" s="33" t="s">
        <v>107</v>
      </c>
      <c r="E53" s="33" t="s">
        <v>104</v>
      </c>
      <c r="F53" s="33" t="s">
        <v>108</v>
      </c>
      <c r="G53" s="33" t="s">
        <v>54</v>
      </c>
      <c r="H53" s="114" t="s">
        <v>150</v>
      </c>
      <c r="I53" s="33" t="s">
        <v>63</v>
      </c>
      <c r="J53" s="44">
        <v>4</v>
      </c>
      <c r="K53" s="108">
        <v>100000</v>
      </c>
      <c r="L53" s="109">
        <v>0</v>
      </c>
      <c r="M53" s="109">
        <v>0</v>
      </c>
      <c r="N53" s="36">
        <f t="shared" si="8"/>
        <v>100000</v>
      </c>
      <c r="O53" s="36"/>
      <c r="P53" s="36"/>
      <c r="Q53" s="36"/>
      <c r="R53" s="36">
        <f t="shared" si="9"/>
        <v>100000</v>
      </c>
      <c r="S53" s="110">
        <v>0</v>
      </c>
      <c r="T53" s="38">
        <f t="shared" si="10"/>
        <v>0</v>
      </c>
      <c r="U53" s="113">
        <v>0</v>
      </c>
      <c r="V53" s="38">
        <f t="shared" si="11"/>
        <v>0</v>
      </c>
      <c r="W53" s="35">
        <v>0</v>
      </c>
      <c r="X53" s="38">
        <f t="shared" si="12"/>
        <v>0</v>
      </c>
      <c r="Y53" s="5"/>
      <c r="Z53" s="5"/>
      <c r="AA53" s="5"/>
    </row>
    <row r="54" spans="1:27" ht="54" hidden="1" customHeight="1">
      <c r="A54" s="22" t="s">
        <v>87</v>
      </c>
      <c r="B54" s="33" t="s">
        <v>88</v>
      </c>
      <c r="C54" s="33" t="s">
        <v>50</v>
      </c>
      <c r="D54" s="33" t="s">
        <v>109</v>
      </c>
      <c r="E54" s="33" t="s">
        <v>104</v>
      </c>
      <c r="F54" s="33" t="s">
        <v>110</v>
      </c>
      <c r="G54" s="33" t="s">
        <v>54</v>
      </c>
      <c r="H54" s="33" t="s">
        <v>94</v>
      </c>
      <c r="I54" s="33" t="s">
        <v>63</v>
      </c>
      <c r="J54" s="24">
        <v>3</v>
      </c>
      <c r="K54" s="34"/>
      <c r="L54" s="35"/>
      <c r="M54" s="35"/>
      <c r="N54" s="36">
        <f t="shared" si="8"/>
        <v>0</v>
      </c>
      <c r="O54" s="36"/>
      <c r="P54" s="36"/>
      <c r="Q54" s="36"/>
      <c r="R54" s="36">
        <f t="shared" si="9"/>
        <v>0</v>
      </c>
      <c r="S54" s="37"/>
      <c r="T54" s="38">
        <f t="shared" si="10"/>
        <v>0</v>
      </c>
      <c r="U54" s="29"/>
      <c r="V54" s="38">
        <f t="shared" si="11"/>
        <v>0</v>
      </c>
      <c r="W54" s="35"/>
      <c r="X54" s="38">
        <f t="shared" si="12"/>
        <v>0</v>
      </c>
      <c r="Y54" s="5"/>
      <c r="Z54" s="5"/>
      <c r="AA54" s="5"/>
    </row>
    <row r="55" spans="1:27" ht="54" customHeight="1">
      <c r="A55" s="22" t="s">
        <v>87</v>
      </c>
      <c r="B55" s="33" t="s">
        <v>88</v>
      </c>
      <c r="C55" s="33" t="s">
        <v>50</v>
      </c>
      <c r="D55" s="33" t="s">
        <v>111</v>
      </c>
      <c r="E55" s="33" t="s">
        <v>104</v>
      </c>
      <c r="F55" s="33" t="s">
        <v>110</v>
      </c>
      <c r="G55" s="33" t="s">
        <v>54</v>
      </c>
      <c r="H55" s="114" t="s">
        <v>150</v>
      </c>
      <c r="I55" s="33" t="s">
        <v>63</v>
      </c>
      <c r="J55" s="44">
        <v>4</v>
      </c>
      <c r="K55" s="108">
        <v>280000</v>
      </c>
      <c r="L55" s="109">
        <v>0</v>
      </c>
      <c r="M55" s="109">
        <v>49950</v>
      </c>
      <c r="N55" s="36">
        <f t="shared" si="8"/>
        <v>230050</v>
      </c>
      <c r="O55" s="36"/>
      <c r="P55" s="36"/>
      <c r="Q55" s="36"/>
      <c r="R55" s="36">
        <f t="shared" si="9"/>
        <v>230050</v>
      </c>
      <c r="S55" s="110">
        <v>0</v>
      </c>
      <c r="T55" s="38">
        <f t="shared" si="10"/>
        <v>0</v>
      </c>
      <c r="U55" s="113">
        <v>0</v>
      </c>
      <c r="V55" s="38">
        <f t="shared" si="11"/>
        <v>0</v>
      </c>
      <c r="W55" s="35">
        <v>0</v>
      </c>
      <c r="X55" s="38">
        <f t="shared" si="12"/>
        <v>0</v>
      </c>
      <c r="Y55" s="5"/>
      <c r="Z55" s="5"/>
      <c r="AA55" s="5"/>
    </row>
    <row r="56" spans="1:27" ht="54" customHeight="1">
      <c r="A56" s="22" t="s">
        <v>87</v>
      </c>
      <c r="B56" s="33" t="s">
        <v>88</v>
      </c>
      <c r="C56" s="33" t="s">
        <v>50</v>
      </c>
      <c r="D56" s="114" t="s">
        <v>109</v>
      </c>
      <c r="E56" s="33" t="s">
        <v>104</v>
      </c>
      <c r="F56" s="33" t="s">
        <v>110</v>
      </c>
      <c r="G56" s="33" t="s">
        <v>54</v>
      </c>
      <c r="H56" s="114" t="s">
        <v>150</v>
      </c>
      <c r="I56" s="33" t="s">
        <v>63</v>
      </c>
      <c r="J56" s="44">
        <v>4</v>
      </c>
      <c r="K56" s="108">
        <v>0</v>
      </c>
      <c r="L56" s="109">
        <v>49950</v>
      </c>
      <c r="M56" s="109">
        <v>0</v>
      </c>
      <c r="N56" s="36">
        <f t="shared" si="8"/>
        <v>49950</v>
      </c>
      <c r="O56" s="36"/>
      <c r="P56" s="36"/>
      <c r="Q56" s="36"/>
      <c r="R56" s="36">
        <f t="shared" si="9"/>
        <v>49950</v>
      </c>
      <c r="S56" s="110">
        <v>49950</v>
      </c>
      <c r="T56" s="38">
        <f t="shared" si="10"/>
        <v>1</v>
      </c>
      <c r="U56" s="113">
        <v>0</v>
      </c>
      <c r="V56" s="38">
        <f t="shared" si="11"/>
        <v>0</v>
      </c>
      <c r="W56" s="35">
        <v>0</v>
      </c>
      <c r="X56" s="38">
        <f t="shared" si="12"/>
        <v>0</v>
      </c>
      <c r="Y56" s="5"/>
      <c r="Z56" s="5"/>
      <c r="AA56" s="5"/>
    </row>
    <row r="57" spans="1:27" ht="54" customHeight="1">
      <c r="A57" s="22" t="s">
        <v>87</v>
      </c>
      <c r="B57" s="33" t="s">
        <v>88</v>
      </c>
      <c r="C57" s="33" t="s">
        <v>50</v>
      </c>
      <c r="D57" s="33" t="s">
        <v>61</v>
      </c>
      <c r="E57" s="33" t="s">
        <v>104</v>
      </c>
      <c r="F57" s="33" t="s">
        <v>62</v>
      </c>
      <c r="G57" s="33" t="s">
        <v>54</v>
      </c>
      <c r="H57" s="114" t="s">
        <v>154</v>
      </c>
      <c r="I57" s="33" t="s">
        <v>63</v>
      </c>
      <c r="J57" s="24">
        <v>3</v>
      </c>
      <c r="K57" s="108">
        <v>400000</v>
      </c>
      <c r="L57" s="109">
        <v>0</v>
      </c>
      <c r="M57" s="109">
        <v>0</v>
      </c>
      <c r="N57" s="36">
        <f t="shared" si="8"/>
        <v>400000</v>
      </c>
      <c r="O57" s="36"/>
      <c r="P57" s="36"/>
      <c r="Q57" s="36"/>
      <c r="R57" s="36">
        <f t="shared" si="9"/>
        <v>400000</v>
      </c>
      <c r="S57" s="110">
        <v>36049.5</v>
      </c>
      <c r="T57" s="38">
        <f t="shared" si="10"/>
        <v>9.0123750000000002E-2</v>
      </c>
      <c r="U57" s="115">
        <v>0</v>
      </c>
      <c r="V57" s="38">
        <f t="shared" si="11"/>
        <v>0</v>
      </c>
      <c r="W57" s="35">
        <v>0</v>
      </c>
      <c r="X57" s="38">
        <f t="shared" si="12"/>
        <v>0</v>
      </c>
      <c r="Y57" s="5"/>
      <c r="Z57" s="5"/>
      <c r="AA57" s="5"/>
    </row>
    <row r="58" spans="1:27" ht="54" customHeight="1">
      <c r="A58" s="22" t="s">
        <v>87</v>
      </c>
      <c r="B58" s="23" t="s">
        <v>88</v>
      </c>
      <c r="C58" s="23" t="s">
        <v>50</v>
      </c>
      <c r="D58" s="23" t="s">
        <v>64</v>
      </c>
      <c r="E58" s="33" t="s">
        <v>104</v>
      </c>
      <c r="F58" s="33" t="s">
        <v>66</v>
      </c>
      <c r="G58" s="23" t="s">
        <v>54</v>
      </c>
      <c r="H58" s="104" t="s">
        <v>150</v>
      </c>
      <c r="I58" s="23" t="s">
        <v>63</v>
      </c>
      <c r="J58" s="24">
        <v>3</v>
      </c>
      <c r="K58" s="108">
        <v>20000</v>
      </c>
      <c r="L58" s="105">
        <v>0</v>
      </c>
      <c r="M58" s="105">
        <v>0</v>
      </c>
      <c r="N58" s="26">
        <f t="shared" si="8"/>
        <v>20000</v>
      </c>
      <c r="O58" s="26"/>
      <c r="P58" s="26"/>
      <c r="Q58" s="26"/>
      <c r="R58" s="26">
        <f t="shared" si="9"/>
        <v>20000</v>
      </c>
      <c r="S58" s="110">
        <v>0</v>
      </c>
      <c r="T58" s="28">
        <f t="shared" si="10"/>
        <v>0</v>
      </c>
      <c r="U58" s="106">
        <v>0</v>
      </c>
      <c r="V58" s="28">
        <f t="shared" si="11"/>
        <v>0</v>
      </c>
      <c r="W58" s="25">
        <v>0</v>
      </c>
      <c r="X58" s="28">
        <f t="shared" si="12"/>
        <v>0</v>
      </c>
      <c r="Y58" s="5"/>
      <c r="Z58" s="5"/>
      <c r="AA58" s="5"/>
    </row>
    <row r="59" spans="1:27" ht="54" hidden="1" customHeight="1">
      <c r="A59" s="22" t="s">
        <v>87</v>
      </c>
      <c r="B59" s="23" t="s">
        <v>88</v>
      </c>
      <c r="C59" s="23" t="s">
        <v>50</v>
      </c>
      <c r="D59" s="23" t="s">
        <v>64</v>
      </c>
      <c r="E59" s="33" t="s">
        <v>104</v>
      </c>
      <c r="F59" s="33" t="s">
        <v>66</v>
      </c>
      <c r="G59" s="23" t="s">
        <v>54</v>
      </c>
      <c r="H59" s="23" t="s">
        <v>94</v>
      </c>
      <c r="I59" s="23" t="s">
        <v>63</v>
      </c>
      <c r="J59" s="24">
        <v>3</v>
      </c>
      <c r="K59" s="34"/>
      <c r="L59" s="25"/>
      <c r="M59" s="25"/>
      <c r="N59" s="26">
        <f t="shared" si="8"/>
        <v>0</v>
      </c>
      <c r="O59" s="26"/>
      <c r="P59" s="26"/>
      <c r="Q59" s="26"/>
      <c r="R59" s="26">
        <f t="shared" si="9"/>
        <v>0</v>
      </c>
      <c r="S59" s="37"/>
      <c r="T59" s="28">
        <f t="shared" si="10"/>
        <v>0</v>
      </c>
      <c r="U59" s="29"/>
      <c r="V59" s="28">
        <f t="shared" si="11"/>
        <v>0</v>
      </c>
      <c r="W59" s="25"/>
      <c r="X59" s="28">
        <f t="shared" si="12"/>
        <v>0</v>
      </c>
      <c r="Y59" s="5"/>
      <c r="Z59" s="5"/>
      <c r="AA59" s="5"/>
    </row>
    <row r="60" spans="1:27" ht="54" customHeight="1">
      <c r="A60" s="22" t="s">
        <v>87</v>
      </c>
      <c r="B60" s="23" t="s">
        <v>88</v>
      </c>
      <c r="C60" s="23" t="s">
        <v>50</v>
      </c>
      <c r="D60" s="23" t="s">
        <v>113</v>
      </c>
      <c r="E60" s="33" t="s">
        <v>104</v>
      </c>
      <c r="F60" s="33" t="s">
        <v>114</v>
      </c>
      <c r="G60" s="23" t="s">
        <v>54</v>
      </c>
      <c r="H60" s="104" t="s">
        <v>150</v>
      </c>
      <c r="I60" s="23" t="s">
        <v>63</v>
      </c>
      <c r="J60" s="24">
        <v>3</v>
      </c>
      <c r="K60" s="34">
        <f>38480000-K61</f>
        <v>37980000</v>
      </c>
      <c r="L60" s="105">
        <v>0</v>
      </c>
      <c r="M60" s="105">
        <v>0</v>
      </c>
      <c r="N60" s="26">
        <f t="shared" si="8"/>
        <v>37980000</v>
      </c>
      <c r="O60" s="26"/>
      <c r="P60" s="26"/>
      <c r="Q60" s="26"/>
      <c r="R60" s="26">
        <f t="shared" si="9"/>
        <v>37980000</v>
      </c>
      <c r="S60" s="25">
        <f>15179155.73-S61</f>
        <v>15118526.33</v>
      </c>
      <c r="T60" s="28">
        <f t="shared" si="10"/>
        <v>0.39806546419167982</v>
      </c>
      <c r="U60" s="106">
        <v>564055.87</v>
      </c>
      <c r="V60" s="28">
        <f t="shared" si="11"/>
        <v>1.485139204844655E-2</v>
      </c>
      <c r="W60" s="105">
        <v>562031.35999999999</v>
      </c>
      <c r="X60" s="28">
        <f t="shared" si="12"/>
        <v>1.4798087414428646E-2</v>
      </c>
      <c r="Y60" s="5"/>
      <c r="Z60" s="5"/>
      <c r="AA60" s="5"/>
    </row>
    <row r="61" spans="1:27" ht="54" customHeight="1">
      <c r="A61" s="22" t="s">
        <v>87</v>
      </c>
      <c r="B61" s="23" t="s">
        <v>88</v>
      </c>
      <c r="C61" s="23" t="s">
        <v>50</v>
      </c>
      <c r="D61" s="23" t="s">
        <v>113</v>
      </c>
      <c r="E61" s="33" t="s">
        <v>104</v>
      </c>
      <c r="F61" s="33" t="s">
        <v>114</v>
      </c>
      <c r="G61" s="23" t="s">
        <v>54</v>
      </c>
      <c r="H61" s="104" t="s">
        <v>150</v>
      </c>
      <c r="I61" s="23" t="s">
        <v>63</v>
      </c>
      <c r="J61" s="44">
        <v>4</v>
      </c>
      <c r="K61" s="108">
        <v>500000</v>
      </c>
      <c r="L61" s="105">
        <v>0</v>
      </c>
      <c r="M61" s="105">
        <v>0</v>
      </c>
      <c r="N61" s="26">
        <f t="shared" si="8"/>
        <v>500000</v>
      </c>
      <c r="O61" s="26"/>
      <c r="P61" s="26"/>
      <c r="Q61" s="26"/>
      <c r="R61" s="26">
        <f t="shared" si="9"/>
        <v>500000</v>
      </c>
      <c r="S61" s="25">
        <f>42029.4+18600</f>
        <v>60629.4</v>
      </c>
      <c r="T61" s="28">
        <f t="shared" si="10"/>
        <v>0.1212588</v>
      </c>
      <c r="U61" s="46"/>
      <c r="V61" s="28">
        <f t="shared" si="11"/>
        <v>0</v>
      </c>
      <c r="W61" s="25">
        <v>0</v>
      </c>
      <c r="X61" s="28">
        <f t="shared" si="12"/>
        <v>0</v>
      </c>
      <c r="Y61" s="5"/>
      <c r="Z61" s="5"/>
      <c r="AA61" s="5"/>
    </row>
    <row r="62" spans="1:27" ht="54" hidden="1" customHeight="1">
      <c r="A62" s="22" t="s">
        <v>87</v>
      </c>
      <c r="B62" s="23" t="s">
        <v>88</v>
      </c>
      <c r="C62" s="23" t="s">
        <v>50</v>
      </c>
      <c r="D62" s="23" t="s">
        <v>113</v>
      </c>
      <c r="E62" s="33" t="s">
        <v>104</v>
      </c>
      <c r="F62" s="33" t="s">
        <v>114</v>
      </c>
      <c r="G62" s="23" t="s">
        <v>54</v>
      </c>
      <c r="H62" s="23" t="s">
        <v>94</v>
      </c>
      <c r="I62" s="23" t="s">
        <v>63</v>
      </c>
      <c r="J62" s="24">
        <v>3</v>
      </c>
      <c r="K62" s="34"/>
      <c r="L62" s="25"/>
      <c r="M62" s="25"/>
      <c r="N62" s="26">
        <f t="shared" si="8"/>
        <v>0</v>
      </c>
      <c r="O62" s="26"/>
      <c r="P62" s="26"/>
      <c r="Q62" s="26"/>
      <c r="R62" s="26">
        <f t="shared" si="9"/>
        <v>0</v>
      </c>
      <c r="S62" s="35"/>
      <c r="T62" s="28">
        <f t="shared" si="10"/>
        <v>0</v>
      </c>
      <c r="U62" s="29"/>
      <c r="V62" s="28">
        <f t="shared" si="11"/>
        <v>0</v>
      </c>
      <c r="W62" s="25"/>
      <c r="X62" s="28">
        <f t="shared" si="12"/>
        <v>0</v>
      </c>
      <c r="Y62" s="5"/>
      <c r="Z62" s="5"/>
      <c r="AA62" s="5"/>
    </row>
    <row r="63" spans="1:27" ht="54" hidden="1" customHeight="1">
      <c r="A63" s="22" t="s">
        <v>87</v>
      </c>
      <c r="B63" s="23" t="s">
        <v>88</v>
      </c>
      <c r="C63" s="23" t="s">
        <v>50</v>
      </c>
      <c r="D63" s="23" t="s">
        <v>113</v>
      </c>
      <c r="E63" s="33" t="s">
        <v>104</v>
      </c>
      <c r="F63" s="33" t="s">
        <v>114</v>
      </c>
      <c r="G63" s="23" t="s">
        <v>54</v>
      </c>
      <c r="H63" s="23" t="s">
        <v>94</v>
      </c>
      <c r="I63" s="23" t="s">
        <v>63</v>
      </c>
      <c r="J63" s="44">
        <v>4</v>
      </c>
      <c r="K63" s="34"/>
      <c r="L63" s="25"/>
      <c r="M63" s="25"/>
      <c r="N63" s="26">
        <f t="shared" si="8"/>
        <v>0</v>
      </c>
      <c r="O63" s="26"/>
      <c r="P63" s="26"/>
      <c r="Q63" s="26"/>
      <c r="R63" s="26">
        <f t="shared" si="9"/>
        <v>0</v>
      </c>
      <c r="S63" s="35"/>
      <c r="T63" s="28">
        <f t="shared" si="10"/>
        <v>0</v>
      </c>
      <c r="U63" s="46"/>
      <c r="V63" s="28">
        <f t="shared" si="11"/>
        <v>0</v>
      </c>
      <c r="W63" s="25"/>
      <c r="X63" s="28">
        <f t="shared" si="12"/>
        <v>0</v>
      </c>
      <c r="Y63" s="5"/>
      <c r="Z63" s="5"/>
      <c r="AA63" s="5"/>
    </row>
    <row r="64" spans="1:27" ht="63" hidden="1" customHeight="1">
      <c r="A64" s="22" t="s">
        <v>87</v>
      </c>
      <c r="B64" s="23" t="s">
        <v>88</v>
      </c>
      <c r="C64" s="23" t="s">
        <v>50</v>
      </c>
      <c r="D64" s="23" t="s">
        <v>113</v>
      </c>
      <c r="E64" s="33" t="s">
        <v>65</v>
      </c>
      <c r="F64" s="33" t="s">
        <v>114</v>
      </c>
      <c r="G64" s="23" t="s">
        <v>54</v>
      </c>
      <c r="H64" s="23" t="s">
        <v>115</v>
      </c>
      <c r="I64" s="23" t="s">
        <v>56</v>
      </c>
      <c r="J64" s="24">
        <v>3</v>
      </c>
      <c r="K64" s="34"/>
      <c r="L64" s="25"/>
      <c r="M64" s="25"/>
      <c r="N64" s="26">
        <f t="shared" si="8"/>
        <v>0</v>
      </c>
      <c r="O64" s="26"/>
      <c r="P64" s="26"/>
      <c r="Q64" s="26"/>
      <c r="R64" s="26">
        <f t="shared" si="9"/>
        <v>0</v>
      </c>
      <c r="S64" s="35"/>
      <c r="T64" s="28">
        <f t="shared" si="10"/>
        <v>0</v>
      </c>
      <c r="U64" s="29"/>
      <c r="V64" s="28">
        <f t="shared" si="11"/>
        <v>0</v>
      </c>
      <c r="W64" s="25"/>
      <c r="X64" s="28">
        <f t="shared" si="12"/>
        <v>0</v>
      </c>
      <c r="Y64" s="5"/>
      <c r="Z64" s="5"/>
      <c r="AA64" s="5"/>
    </row>
    <row r="65" spans="1:27" ht="63" customHeight="1">
      <c r="A65" s="22" t="s">
        <v>87</v>
      </c>
      <c r="B65" s="23" t="s">
        <v>88</v>
      </c>
      <c r="C65" s="23" t="s">
        <v>50</v>
      </c>
      <c r="D65" s="23" t="s">
        <v>116</v>
      </c>
      <c r="E65" s="33" t="s">
        <v>65</v>
      </c>
      <c r="F65" s="23" t="s">
        <v>117</v>
      </c>
      <c r="G65" s="23" t="s">
        <v>54</v>
      </c>
      <c r="H65" s="104" t="s">
        <v>150</v>
      </c>
      <c r="I65" s="23" t="s">
        <v>56</v>
      </c>
      <c r="J65" s="24">
        <v>3</v>
      </c>
      <c r="K65" s="108">
        <v>600000</v>
      </c>
      <c r="L65" s="105">
        <v>0</v>
      </c>
      <c r="M65" s="105">
        <v>0</v>
      </c>
      <c r="N65" s="26">
        <f t="shared" si="8"/>
        <v>600000</v>
      </c>
      <c r="O65" s="26"/>
      <c r="P65" s="26"/>
      <c r="Q65" s="26"/>
      <c r="R65" s="26">
        <f t="shared" si="9"/>
        <v>600000</v>
      </c>
      <c r="S65" s="109">
        <v>1767.45</v>
      </c>
      <c r="T65" s="28">
        <f t="shared" si="10"/>
        <v>2.94575E-3</v>
      </c>
      <c r="U65" s="106">
        <v>1767.45</v>
      </c>
      <c r="V65" s="28">
        <f t="shared" si="11"/>
        <v>2.94575E-3</v>
      </c>
      <c r="W65" s="105">
        <v>1767.45</v>
      </c>
      <c r="X65" s="28">
        <f t="shared" si="12"/>
        <v>2.94575E-3</v>
      </c>
      <c r="Y65" s="5"/>
      <c r="Z65" s="5"/>
      <c r="AA65" s="5"/>
    </row>
    <row r="66" spans="1:27" ht="63" customHeight="1">
      <c r="A66" s="22" t="s">
        <v>87</v>
      </c>
      <c r="B66" s="23" t="s">
        <v>88</v>
      </c>
      <c r="C66" s="23" t="s">
        <v>50</v>
      </c>
      <c r="D66" s="23" t="s">
        <v>71</v>
      </c>
      <c r="E66" s="33" t="s">
        <v>65</v>
      </c>
      <c r="F66" s="23" t="s">
        <v>72</v>
      </c>
      <c r="G66" s="23" t="s">
        <v>54</v>
      </c>
      <c r="H66" s="104" t="s">
        <v>150</v>
      </c>
      <c r="I66" s="23" t="s">
        <v>56</v>
      </c>
      <c r="J66" s="24">
        <v>3</v>
      </c>
      <c r="K66" s="108">
        <v>15000</v>
      </c>
      <c r="L66" s="105">
        <v>0</v>
      </c>
      <c r="M66" s="105">
        <v>0</v>
      </c>
      <c r="N66" s="26">
        <f t="shared" si="8"/>
        <v>15000</v>
      </c>
      <c r="O66" s="26"/>
      <c r="P66" s="26"/>
      <c r="Q66" s="26"/>
      <c r="R66" s="26">
        <f t="shared" si="9"/>
        <v>15000</v>
      </c>
      <c r="S66" s="109">
        <v>0</v>
      </c>
      <c r="T66" s="28">
        <f t="shared" si="10"/>
        <v>0</v>
      </c>
      <c r="U66" s="111">
        <v>0</v>
      </c>
      <c r="V66" s="28">
        <f t="shared" si="11"/>
        <v>0</v>
      </c>
      <c r="W66" s="25">
        <v>0</v>
      </c>
      <c r="X66" s="28">
        <f t="shared" si="12"/>
        <v>0</v>
      </c>
      <c r="Y66" s="5"/>
      <c r="Z66" s="5"/>
      <c r="AA66" s="5"/>
    </row>
    <row r="67" spans="1:27" ht="63" hidden="1" customHeight="1">
      <c r="A67" s="22" t="s">
        <v>87</v>
      </c>
      <c r="B67" s="23" t="s">
        <v>88</v>
      </c>
      <c r="C67" s="23" t="s">
        <v>50</v>
      </c>
      <c r="D67" s="23" t="s">
        <v>71</v>
      </c>
      <c r="E67" s="33" t="s">
        <v>65</v>
      </c>
      <c r="F67" s="23" t="s">
        <v>72</v>
      </c>
      <c r="G67" s="23" t="s">
        <v>54</v>
      </c>
      <c r="H67" s="23" t="s">
        <v>94</v>
      </c>
      <c r="I67" s="23" t="s">
        <v>56</v>
      </c>
      <c r="J67" s="24">
        <v>3</v>
      </c>
      <c r="K67" s="34"/>
      <c r="L67" s="25"/>
      <c r="M67" s="25"/>
      <c r="N67" s="26">
        <f t="shared" si="8"/>
        <v>0</v>
      </c>
      <c r="O67" s="26"/>
      <c r="P67" s="26"/>
      <c r="Q67" s="26"/>
      <c r="R67" s="26">
        <f t="shared" si="9"/>
        <v>0</v>
      </c>
      <c r="S67" s="35"/>
      <c r="T67" s="28">
        <f t="shared" si="10"/>
        <v>0</v>
      </c>
      <c r="U67" s="29"/>
      <c r="V67" s="28">
        <f t="shared" si="11"/>
        <v>0</v>
      </c>
      <c r="W67" s="25"/>
      <c r="X67" s="28">
        <f t="shared" si="12"/>
        <v>0</v>
      </c>
      <c r="Y67" s="5"/>
      <c r="Z67" s="5"/>
      <c r="AA67" s="5"/>
    </row>
    <row r="68" spans="1:27" ht="63" customHeight="1">
      <c r="A68" s="22" t="s">
        <v>87</v>
      </c>
      <c r="B68" s="23" t="s">
        <v>88</v>
      </c>
      <c r="C68" s="23" t="s">
        <v>118</v>
      </c>
      <c r="D68" s="23" t="s">
        <v>119</v>
      </c>
      <c r="E68" s="33" t="s">
        <v>65</v>
      </c>
      <c r="F68" s="23" t="s">
        <v>120</v>
      </c>
      <c r="G68" s="23" t="s">
        <v>54</v>
      </c>
      <c r="H68" s="104" t="s">
        <v>150</v>
      </c>
      <c r="I68" s="23" t="s">
        <v>56</v>
      </c>
      <c r="J68" s="24">
        <v>3</v>
      </c>
      <c r="K68" s="34">
        <f>21000000-K69</f>
        <v>20000000</v>
      </c>
      <c r="L68" s="105">
        <v>0</v>
      </c>
      <c r="M68" s="105">
        <v>0</v>
      </c>
      <c r="N68" s="26">
        <f t="shared" si="8"/>
        <v>20000000</v>
      </c>
      <c r="O68" s="26"/>
      <c r="P68" s="26"/>
      <c r="Q68" s="26"/>
      <c r="R68" s="26">
        <f t="shared" si="9"/>
        <v>20000000</v>
      </c>
      <c r="S68" s="35">
        <f>10394860.24</f>
        <v>10394860.24</v>
      </c>
      <c r="T68" s="28">
        <f t="shared" si="10"/>
        <v>0.51974301200000006</v>
      </c>
      <c r="U68" s="106">
        <v>59299.040000000001</v>
      </c>
      <c r="V68" s="28">
        <f t="shared" si="11"/>
        <v>2.9649519999999999E-3</v>
      </c>
      <c r="W68" s="105">
        <v>59299.040000000001</v>
      </c>
      <c r="X68" s="28">
        <f t="shared" si="12"/>
        <v>2.9649519999999999E-3</v>
      </c>
      <c r="Y68" s="5"/>
      <c r="Z68" s="5"/>
      <c r="AA68" s="5"/>
    </row>
    <row r="69" spans="1:27" ht="63" customHeight="1">
      <c r="A69" s="22" t="s">
        <v>87</v>
      </c>
      <c r="B69" s="23" t="s">
        <v>88</v>
      </c>
      <c r="C69" s="23" t="s">
        <v>118</v>
      </c>
      <c r="D69" s="23" t="s">
        <v>119</v>
      </c>
      <c r="E69" s="33" t="s">
        <v>65</v>
      </c>
      <c r="F69" s="23" t="s">
        <v>120</v>
      </c>
      <c r="G69" s="23" t="s">
        <v>54</v>
      </c>
      <c r="H69" s="104" t="s">
        <v>150</v>
      </c>
      <c r="I69" s="23" t="s">
        <v>56</v>
      </c>
      <c r="J69" s="44">
        <v>4</v>
      </c>
      <c r="K69" s="108">
        <v>1000000</v>
      </c>
      <c r="L69" s="105">
        <v>526000</v>
      </c>
      <c r="M69" s="105">
        <v>526000</v>
      </c>
      <c r="N69" s="26">
        <f t="shared" si="8"/>
        <v>1000000</v>
      </c>
      <c r="O69" s="26"/>
      <c r="P69" s="26"/>
      <c r="Q69" s="26"/>
      <c r="R69" s="26">
        <f t="shared" si="9"/>
        <v>1000000</v>
      </c>
      <c r="S69" s="109">
        <v>0</v>
      </c>
      <c r="T69" s="28">
        <f t="shared" si="10"/>
        <v>0</v>
      </c>
      <c r="U69" s="113">
        <v>0</v>
      </c>
      <c r="V69" s="28">
        <f t="shared" si="11"/>
        <v>0</v>
      </c>
      <c r="W69" s="25">
        <v>0</v>
      </c>
      <c r="X69" s="28">
        <f t="shared" si="12"/>
        <v>0</v>
      </c>
      <c r="Y69" s="5"/>
      <c r="Z69" s="5"/>
      <c r="AA69" s="5"/>
    </row>
    <row r="70" spans="1:27" ht="63" hidden="1" customHeight="1">
      <c r="A70" s="22" t="s">
        <v>87</v>
      </c>
      <c r="B70" s="23" t="s">
        <v>88</v>
      </c>
      <c r="C70" s="23" t="s">
        <v>118</v>
      </c>
      <c r="D70" s="23" t="s">
        <v>119</v>
      </c>
      <c r="E70" s="33" t="s">
        <v>65</v>
      </c>
      <c r="F70" s="23" t="s">
        <v>120</v>
      </c>
      <c r="G70" s="23" t="s">
        <v>54</v>
      </c>
      <c r="H70" s="23" t="s">
        <v>94</v>
      </c>
      <c r="I70" s="23" t="s">
        <v>56</v>
      </c>
      <c r="J70" s="24">
        <v>3</v>
      </c>
      <c r="K70" s="34"/>
      <c r="L70" s="25"/>
      <c r="M70" s="25"/>
      <c r="N70" s="26">
        <f t="shared" si="8"/>
        <v>0</v>
      </c>
      <c r="O70" s="26"/>
      <c r="P70" s="26"/>
      <c r="Q70" s="26"/>
      <c r="R70" s="26">
        <f t="shared" si="9"/>
        <v>0</v>
      </c>
      <c r="S70" s="35"/>
      <c r="T70" s="28">
        <f t="shared" si="10"/>
        <v>0</v>
      </c>
      <c r="U70" s="29"/>
      <c r="V70" s="28">
        <f t="shared" si="11"/>
        <v>0</v>
      </c>
      <c r="W70" s="25"/>
      <c r="X70" s="28">
        <f t="shared" si="12"/>
        <v>0</v>
      </c>
      <c r="Y70" s="5"/>
      <c r="Z70" s="5"/>
      <c r="AA70" s="5"/>
    </row>
    <row r="71" spans="1:27" ht="63" hidden="1" customHeight="1">
      <c r="A71" s="22" t="s">
        <v>87</v>
      </c>
      <c r="B71" s="23" t="s">
        <v>88</v>
      </c>
      <c r="C71" s="23" t="s">
        <v>118</v>
      </c>
      <c r="D71" s="23" t="s">
        <v>119</v>
      </c>
      <c r="E71" s="33" t="s">
        <v>65</v>
      </c>
      <c r="F71" s="23" t="s">
        <v>120</v>
      </c>
      <c r="G71" s="23" t="s">
        <v>54</v>
      </c>
      <c r="H71" s="23" t="s">
        <v>94</v>
      </c>
      <c r="I71" s="23" t="s">
        <v>56</v>
      </c>
      <c r="J71" s="44">
        <v>4</v>
      </c>
      <c r="K71" s="34"/>
      <c r="L71" s="25"/>
      <c r="M71" s="25"/>
      <c r="N71" s="26">
        <f t="shared" si="8"/>
        <v>0</v>
      </c>
      <c r="O71" s="26"/>
      <c r="P71" s="26"/>
      <c r="Q71" s="26"/>
      <c r="R71" s="26">
        <f t="shared" si="9"/>
        <v>0</v>
      </c>
      <c r="S71" s="35"/>
      <c r="T71" s="28">
        <f t="shared" si="10"/>
        <v>0</v>
      </c>
      <c r="U71" s="46"/>
      <c r="V71" s="28">
        <f t="shared" si="11"/>
        <v>0</v>
      </c>
      <c r="W71" s="25"/>
      <c r="X71" s="28">
        <f t="shared" si="12"/>
        <v>0</v>
      </c>
      <c r="Y71" s="5"/>
      <c r="Z71" s="5"/>
      <c r="AA71" s="5"/>
    </row>
    <row r="72" spans="1:27" ht="63" customHeight="1">
      <c r="A72" s="22" t="s">
        <v>87</v>
      </c>
      <c r="B72" s="23" t="s">
        <v>88</v>
      </c>
      <c r="C72" s="23" t="s">
        <v>118</v>
      </c>
      <c r="D72" s="23" t="s">
        <v>121</v>
      </c>
      <c r="E72" s="33" t="s">
        <v>65</v>
      </c>
      <c r="F72" s="23" t="s">
        <v>122</v>
      </c>
      <c r="G72" s="23" t="s">
        <v>54</v>
      </c>
      <c r="H72" s="104" t="s">
        <v>150</v>
      </c>
      <c r="I72" s="23" t="s">
        <v>56</v>
      </c>
      <c r="J72" s="24">
        <v>3</v>
      </c>
      <c r="K72" s="34">
        <f>8700000-K73</f>
        <v>8000000</v>
      </c>
      <c r="L72" s="105">
        <v>0</v>
      </c>
      <c r="M72" s="105">
        <v>0</v>
      </c>
      <c r="N72" s="26">
        <f t="shared" si="8"/>
        <v>8000000</v>
      </c>
      <c r="O72" s="26"/>
      <c r="P72" s="26"/>
      <c r="Q72" s="26"/>
      <c r="R72" s="26">
        <f t="shared" si="9"/>
        <v>8000000</v>
      </c>
      <c r="S72" s="35">
        <f>5791258.91</f>
        <v>5791258.9100000001</v>
      </c>
      <c r="T72" s="28">
        <f t="shared" si="10"/>
        <v>0.72390736374999998</v>
      </c>
      <c r="U72" s="106">
        <v>0</v>
      </c>
      <c r="V72" s="28">
        <f t="shared" si="11"/>
        <v>0</v>
      </c>
      <c r="W72" s="25">
        <v>0</v>
      </c>
      <c r="X72" s="28">
        <f t="shared" si="12"/>
        <v>0</v>
      </c>
      <c r="Y72" s="5"/>
      <c r="Z72" s="5"/>
      <c r="AA72" s="5"/>
    </row>
    <row r="73" spans="1:27" ht="63" customHeight="1">
      <c r="A73" s="22" t="s">
        <v>87</v>
      </c>
      <c r="B73" s="23" t="s">
        <v>88</v>
      </c>
      <c r="C73" s="23" t="s">
        <v>118</v>
      </c>
      <c r="D73" s="23" t="s">
        <v>121</v>
      </c>
      <c r="E73" s="33" t="s">
        <v>65</v>
      </c>
      <c r="F73" s="23" t="s">
        <v>122</v>
      </c>
      <c r="G73" s="23" t="s">
        <v>54</v>
      </c>
      <c r="H73" s="104" t="s">
        <v>150</v>
      </c>
      <c r="I73" s="23" t="s">
        <v>56</v>
      </c>
      <c r="J73" s="44">
        <v>4</v>
      </c>
      <c r="K73" s="34">
        <f>200000+500000</f>
        <v>700000</v>
      </c>
      <c r="L73" s="105">
        <v>0</v>
      </c>
      <c r="M73" s="105">
        <v>0</v>
      </c>
      <c r="N73" s="26">
        <f t="shared" si="8"/>
        <v>700000</v>
      </c>
      <c r="O73" s="26"/>
      <c r="P73" s="26"/>
      <c r="Q73" s="26"/>
      <c r="R73" s="26">
        <f t="shared" si="9"/>
        <v>700000</v>
      </c>
      <c r="S73" s="109">
        <v>0</v>
      </c>
      <c r="T73" s="28">
        <f t="shared" si="10"/>
        <v>0</v>
      </c>
      <c r="U73" s="113">
        <v>0</v>
      </c>
      <c r="V73" s="28">
        <f t="shared" si="11"/>
        <v>0</v>
      </c>
      <c r="W73" s="25">
        <v>0</v>
      </c>
      <c r="X73" s="28">
        <f t="shared" si="12"/>
        <v>0</v>
      </c>
      <c r="Y73" s="5"/>
      <c r="Z73" s="5"/>
      <c r="AA73" s="5"/>
    </row>
    <row r="74" spans="1:27" ht="63" hidden="1" customHeight="1">
      <c r="A74" s="22" t="s">
        <v>87</v>
      </c>
      <c r="B74" s="23" t="s">
        <v>88</v>
      </c>
      <c r="C74" s="23" t="s">
        <v>118</v>
      </c>
      <c r="D74" s="23" t="s">
        <v>121</v>
      </c>
      <c r="E74" s="33" t="s">
        <v>65</v>
      </c>
      <c r="F74" s="23" t="s">
        <v>122</v>
      </c>
      <c r="G74" s="23" t="s">
        <v>54</v>
      </c>
      <c r="H74" s="23" t="s">
        <v>94</v>
      </c>
      <c r="I74" s="23" t="s">
        <v>56</v>
      </c>
      <c r="J74" s="44">
        <v>4</v>
      </c>
      <c r="K74" s="34"/>
      <c r="L74" s="25"/>
      <c r="M74" s="25"/>
      <c r="N74" s="26">
        <f t="shared" si="8"/>
        <v>0</v>
      </c>
      <c r="O74" s="26"/>
      <c r="P74" s="26"/>
      <c r="Q74" s="26"/>
      <c r="R74" s="26">
        <f t="shared" si="9"/>
        <v>0</v>
      </c>
      <c r="S74" s="35"/>
      <c r="T74" s="28">
        <f t="shared" si="10"/>
        <v>0</v>
      </c>
      <c r="U74" s="46"/>
      <c r="V74" s="28">
        <f t="shared" si="11"/>
        <v>0</v>
      </c>
      <c r="W74" s="25"/>
      <c r="X74" s="28">
        <f t="shared" si="12"/>
        <v>0</v>
      </c>
      <c r="Y74" s="5"/>
      <c r="Z74" s="5"/>
      <c r="AA74" s="5"/>
    </row>
    <row r="75" spans="1:27" ht="63" customHeight="1">
      <c r="A75" s="22" t="s">
        <v>87</v>
      </c>
      <c r="B75" s="23" t="s">
        <v>88</v>
      </c>
      <c r="C75" s="23" t="s">
        <v>76</v>
      </c>
      <c r="D75" s="23" t="s">
        <v>77</v>
      </c>
      <c r="E75" s="33" t="s">
        <v>65</v>
      </c>
      <c r="F75" s="23" t="s">
        <v>123</v>
      </c>
      <c r="G75" s="23" t="s">
        <v>54</v>
      </c>
      <c r="H75" s="104" t="s">
        <v>154</v>
      </c>
      <c r="I75" s="23" t="s">
        <v>56</v>
      </c>
      <c r="J75" s="24">
        <v>3</v>
      </c>
      <c r="K75" s="108">
        <v>998000</v>
      </c>
      <c r="L75" s="105">
        <v>396000</v>
      </c>
      <c r="M75" s="105">
        <v>396000</v>
      </c>
      <c r="N75" s="26">
        <f t="shared" si="8"/>
        <v>998000</v>
      </c>
      <c r="O75" s="26"/>
      <c r="P75" s="26"/>
      <c r="Q75" s="26"/>
      <c r="R75" s="26">
        <f t="shared" si="9"/>
        <v>998000</v>
      </c>
      <c r="S75" s="109">
        <v>434300</v>
      </c>
      <c r="T75" s="28">
        <f t="shared" si="10"/>
        <v>0.43517034068136273</v>
      </c>
      <c r="U75" s="106">
        <v>0</v>
      </c>
      <c r="V75" s="28">
        <f t="shared" si="11"/>
        <v>0</v>
      </c>
      <c r="W75" s="25">
        <v>0</v>
      </c>
      <c r="X75" s="28">
        <f t="shared" si="12"/>
        <v>0</v>
      </c>
      <c r="Y75" s="5"/>
      <c r="Z75" s="5"/>
      <c r="AA75" s="5"/>
    </row>
    <row r="76" spans="1:27" ht="63" customHeight="1">
      <c r="A76" s="22" t="s">
        <v>87</v>
      </c>
      <c r="B76" s="23" t="s">
        <v>88</v>
      </c>
      <c r="C76" s="23" t="s">
        <v>76</v>
      </c>
      <c r="D76" s="23" t="s">
        <v>77</v>
      </c>
      <c r="E76" s="33" t="s">
        <v>65</v>
      </c>
      <c r="F76" s="23" t="s">
        <v>123</v>
      </c>
      <c r="G76" s="23" t="s">
        <v>54</v>
      </c>
      <c r="H76" s="23" t="s">
        <v>112</v>
      </c>
      <c r="I76" s="23" t="s">
        <v>56</v>
      </c>
      <c r="J76" s="24">
        <v>3</v>
      </c>
      <c r="K76" s="34"/>
      <c r="L76" s="25"/>
      <c r="M76" s="25"/>
      <c r="N76" s="26">
        <f t="shared" si="8"/>
        <v>0</v>
      </c>
      <c r="O76" s="26"/>
      <c r="P76" s="26"/>
      <c r="Q76" s="26"/>
      <c r="R76" s="26">
        <f t="shared" si="9"/>
        <v>0</v>
      </c>
      <c r="S76" s="35"/>
      <c r="T76" s="28">
        <f t="shared" si="10"/>
        <v>0</v>
      </c>
      <c r="U76" s="29"/>
      <c r="V76" s="28">
        <f t="shared" si="11"/>
        <v>0</v>
      </c>
      <c r="W76" s="25">
        <v>0</v>
      </c>
      <c r="X76" s="28">
        <f t="shared" si="12"/>
        <v>0</v>
      </c>
      <c r="Y76" s="5"/>
      <c r="Z76" s="5"/>
      <c r="AA76" s="5"/>
    </row>
    <row r="77" spans="1:27" ht="15.75" customHeight="1">
      <c r="A77" s="143" t="s">
        <v>124</v>
      </c>
      <c r="B77" s="142"/>
      <c r="C77" s="142"/>
      <c r="D77" s="142"/>
      <c r="E77" s="142"/>
      <c r="F77" s="142"/>
      <c r="G77" s="142"/>
      <c r="H77" s="142"/>
      <c r="I77" s="142"/>
      <c r="J77" s="137"/>
      <c r="K77" s="39">
        <f t="shared" ref="K77:S77" si="13">SUM(K34:K76)</f>
        <v>151078000</v>
      </c>
      <c r="L77" s="39">
        <f t="shared" si="13"/>
        <v>11471227.08</v>
      </c>
      <c r="M77" s="39">
        <f t="shared" si="13"/>
        <v>11471227.08</v>
      </c>
      <c r="N77" s="39">
        <f t="shared" si="13"/>
        <v>151078000</v>
      </c>
      <c r="O77" s="39">
        <f t="shared" si="13"/>
        <v>0</v>
      </c>
      <c r="P77" s="39">
        <f t="shared" si="13"/>
        <v>0</v>
      </c>
      <c r="Q77" s="39">
        <f t="shared" si="13"/>
        <v>0</v>
      </c>
      <c r="R77" s="39">
        <f t="shared" si="13"/>
        <v>151078000</v>
      </c>
      <c r="S77" s="39">
        <f t="shared" si="13"/>
        <v>57170147.930000007</v>
      </c>
      <c r="T77" s="40">
        <f t="shared" si="10"/>
        <v>0.37841477865738232</v>
      </c>
      <c r="U77" s="39">
        <f>SUM(U34:U76)</f>
        <v>1962667.4000000001</v>
      </c>
      <c r="V77" s="40">
        <f t="shared" si="11"/>
        <v>1.2991086723414397E-2</v>
      </c>
      <c r="W77" s="39">
        <f>SUM(W34:W76)</f>
        <v>1924762.97</v>
      </c>
      <c r="X77" s="40">
        <f t="shared" si="12"/>
        <v>1.274019360859953E-2</v>
      </c>
      <c r="Y77" s="5"/>
      <c r="Z77" s="5"/>
      <c r="AA77" s="5"/>
    </row>
    <row r="78" spans="1:27" ht="15.75" customHeight="1">
      <c r="A78" s="144" t="s">
        <v>125</v>
      </c>
      <c r="B78" s="142"/>
      <c r="C78" s="142"/>
      <c r="D78" s="142"/>
      <c r="E78" s="142"/>
      <c r="F78" s="142"/>
      <c r="G78" s="142"/>
      <c r="H78" s="142"/>
      <c r="I78" s="142"/>
      <c r="J78" s="137"/>
      <c r="K78" s="57">
        <f t="shared" ref="K78:S78" si="14">SUM(K31+K77)</f>
        <v>1094864000</v>
      </c>
      <c r="L78" s="57">
        <f t="shared" si="14"/>
        <v>17907227.079999998</v>
      </c>
      <c r="M78" s="57">
        <f t="shared" si="14"/>
        <v>17907227.079999998</v>
      </c>
      <c r="N78" s="57">
        <f t="shared" si="14"/>
        <v>1094864000</v>
      </c>
      <c r="O78" s="57">
        <f t="shared" si="14"/>
        <v>0</v>
      </c>
      <c r="P78" s="57">
        <f t="shared" si="14"/>
        <v>0</v>
      </c>
      <c r="Q78" s="57">
        <f t="shared" si="14"/>
        <v>0</v>
      </c>
      <c r="R78" s="57">
        <f t="shared" si="14"/>
        <v>1094864000</v>
      </c>
      <c r="S78" s="57">
        <f t="shared" si="14"/>
        <v>130930296.77000001</v>
      </c>
      <c r="T78" s="58">
        <f t="shared" si="10"/>
        <v>0.11958589995652429</v>
      </c>
      <c r="U78" s="57">
        <f>SUM(U31+U77)</f>
        <v>75612635.25</v>
      </c>
      <c r="V78" s="58">
        <f t="shared" si="11"/>
        <v>6.906121239715618E-2</v>
      </c>
      <c r="W78" s="57">
        <f>SUM(W31+W77)</f>
        <v>74155797.840000004</v>
      </c>
      <c r="X78" s="58">
        <f t="shared" si="12"/>
        <v>6.7730602010843355E-2</v>
      </c>
      <c r="Y78" s="30"/>
      <c r="Z78" s="5"/>
      <c r="AA78" s="5"/>
    </row>
    <row r="79" spans="1:27" ht="14.25" customHeight="1">
      <c r="A79" s="59" t="s">
        <v>126</v>
      </c>
      <c r="B79" s="60"/>
      <c r="C79" s="60"/>
      <c r="D79" s="60"/>
      <c r="E79" s="60"/>
      <c r="F79" s="60"/>
      <c r="G79" s="60"/>
      <c r="H79" s="61"/>
      <c r="I79" s="61"/>
      <c r="J79" s="61"/>
      <c r="K79" s="60"/>
      <c r="L79" s="60"/>
      <c r="M79" s="62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5"/>
      <c r="Z79" s="5"/>
      <c r="AA79" s="5"/>
    </row>
    <row r="80" spans="1:27" ht="14.25" customHeight="1">
      <c r="A80" s="59" t="s">
        <v>127</v>
      </c>
      <c r="B80" s="64"/>
      <c r="C80" s="60"/>
      <c r="D80" s="60"/>
      <c r="E80" s="60"/>
      <c r="F80" s="60"/>
      <c r="G80" s="60"/>
      <c r="H80" s="61"/>
      <c r="I80" s="61"/>
      <c r="J80" s="61"/>
      <c r="K80" s="60"/>
      <c r="L80" s="60"/>
      <c r="M80" s="62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5"/>
      <c r="Z80" s="5"/>
      <c r="AA80" s="5"/>
    </row>
    <row r="81" spans="1:27" ht="14.25" customHeight="1">
      <c r="A81" s="145" t="s">
        <v>128</v>
      </c>
      <c r="B81" s="142"/>
      <c r="C81" s="142"/>
      <c r="D81" s="142"/>
      <c r="E81" s="142"/>
      <c r="F81" s="142"/>
      <c r="G81" s="142"/>
      <c r="H81" s="142"/>
      <c r="I81" s="142"/>
      <c r="J81" s="142"/>
      <c r="K81" s="142"/>
      <c r="L81" s="142"/>
      <c r="M81" s="137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5"/>
      <c r="Z81" s="5"/>
      <c r="AA81" s="5"/>
    </row>
    <row r="82" spans="1:27" ht="14.25" customHeight="1">
      <c r="A82" s="6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63"/>
      <c r="O82" s="63"/>
      <c r="P82" s="63"/>
      <c r="Q82" s="5"/>
      <c r="R82" s="5"/>
      <c r="S82" s="5"/>
      <c r="T82" s="5"/>
      <c r="U82" s="5"/>
      <c r="V82" s="5"/>
      <c r="W82" s="5"/>
      <c r="X82" s="66"/>
      <c r="Y82" s="5"/>
      <c r="Z82" s="5"/>
      <c r="AA82" s="5"/>
    </row>
    <row r="83" spans="1:27" ht="14.25" customHeight="1">
      <c r="A83" s="146"/>
      <c r="B83" s="147"/>
      <c r="C83" s="147"/>
      <c r="D83" s="147"/>
      <c r="E83" s="147"/>
      <c r="F83" s="147"/>
      <c r="G83" s="147"/>
      <c r="H83" s="148"/>
      <c r="I83" s="5"/>
      <c r="J83" s="5"/>
      <c r="K83" s="5"/>
      <c r="L83" s="5"/>
      <c r="M83" s="5"/>
      <c r="N83" s="63"/>
      <c r="O83" s="63"/>
      <c r="P83" s="63"/>
      <c r="Q83" s="5"/>
      <c r="R83" s="5"/>
      <c r="S83" s="5"/>
      <c r="T83" s="5"/>
      <c r="U83" s="5"/>
      <c r="V83" s="5"/>
      <c r="W83" s="5"/>
      <c r="X83" s="66"/>
      <c r="Y83" s="5"/>
      <c r="Z83" s="5"/>
      <c r="AA83" s="5"/>
    </row>
    <row r="84" spans="1:27" ht="14.25" customHeight="1">
      <c r="A84" s="149"/>
      <c r="B84" s="135"/>
      <c r="C84" s="135"/>
      <c r="D84" s="135"/>
      <c r="E84" s="135"/>
      <c r="F84" s="135"/>
      <c r="G84" s="135"/>
      <c r="H84" s="150"/>
      <c r="I84" s="3"/>
      <c r="J84" s="3"/>
      <c r="K84" s="67"/>
      <c r="L84" s="67"/>
      <c r="M84" s="67"/>
      <c r="N84" s="67"/>
      <c r="O84" s="67"/>
      <c r="P84" s="67"/>
      <c r="Q84" s="5"/>
      <c r="R84" s="5"/>
      <c r="S84" s="5"/>
      <c r="T84" s="5"/>
      <c r="U84" s="5"/>
      <c r="V84" s="5"/>
      <c r="W84" s="5"/>
      <c r="X84" s="66"/>
      <c r="Y84" s="30"/>
      <c r="Z84" s="5"/>
      <c r="AA84" s="5"/>
    </row>
    <row r="85" spans="1:27" ht="14.25" customHeight="1">
      <c r="A85" s="151"/>
      <c r="B85" s="152"/>
      <c r="C85" s="152"/>
      <c r="D85" s="152"/>
      <c r="E85" s="152"/>
      <c r="F85" s="152"/>
      <c r="G85" s="152"/>
      <c r="H85" s="153"/>
      <c r="I85" s="3"/>
      <c r="J85" s="3"/>
      <c r="K85" s="67"/>
      <c r="L85" s="67"/>
      <c r="M85" s="67"/>
      <c r="N85" s="67"/>
      <c r="O85" s="67"/>
      <c r="P85" s="67"/>
      <c r="Q85" s="5"/>
      <c r="R85" s="5"/>
      <c r="S85" s="5"/>
      <c r="T85" s="5"/>
      <c r="U85" s="68"/>
      <c r="V85" s="5"/>
      <c r="W85" s="5"/>
      <c r="X85" s="66"/>
      <c r="Y85" s="30"/>
      <c r="Z85" s="5"/>
      <c r="AA85" s="5"/>
    </row>
    <row r="86" spans="1:27" ht="14.25" customHeight="1">
      <c r="A86" s="69"/>
      <c r="B86" s="69"/>
      <c r="C86" s="69"/>
      <c r="D86" s="63"/>
      <c r="E86" s="63"/>
      <c r="F86" s="63"/>
      <c r="G86" s="63"/>
      <c r="H86" s="3"/>
      <c r="I86" s="3"/>
      <c r="J86" s="3"/>
      <c r="K86" s="67"/>
      <c r="L86" s="67"/>
      <c r="M86" s="67"/>
      <c r="N86" s="67"/>
      <c r="O86" s="67"/>
      <c r="P86" s="67"/>
      <c r="Q86" s="5"/>
      <c r="R86" s="5"/>
      <c r="S86" s="5"/>
      <c r="T86" s="5"/>
      <c r="U86" s="68"/>
      <c r="V86" s="5"/>
      <c r="W86" s="5"/>
      <c r="X86" s="66"/>
      <c r="Y86" s="30"/>
      <c r="Z86" s="5"/>
      <c r="AA86" s="5"/>
    </row>
    <row r="87" spans="1:27" ht="14.25" customHeight="1">
      <c r="A87" s="69"/>
      <c r="B87" s="69"/>
      <c r="C87" s="69"/>
      <c r="D87" s="63"/>
      <c r="E87" s="63"/>
      <c r="F87" s="63"/>
      <c r="G87" s="63"/>
      <c r="H87" s="3"/>
      <c r="I87" s="3"/>
      <c r="J87" s="3"/>
      <c r="K87" s="67"/>
      <c r="L87" s="67"/>
      <c r="M87" s="67"/>
      <c r="N87" s="67"/>
      <c r="O87" s="67"/>
      <c r="P87" s="67"/>
      <c r="Q87" s="5"/>
      <c r="R87" s="5"/>
      <c r="S87" s="5"/>
      <c r="T87" s="5"/>
      <c r="U87" s="68"/>
      <c r="V87" s="5"/>
      <c r="W87" s="5"/>
      <c r="X87" s="66"/>
      <c r="Y87" s="30"/>
      <c r="Z87" s="5"/>
      <c r="AA87" s="5"/>
    </row>
    <row r="88" spans="1:27" ht="14.25" customHeight="1">
      <c r="A88" s="70"/>
      <c r="B88" s="70"/>
      <c r="C88" s="70"/>
      <c r="D88" s="70"/>
      <c r="E88" s="70"/>
      <c r="F88" s="70"/>
      <c r="G88" s="63"/>
      <c r="H88" s="3"/>
      <c r="I88" s="3"/>
      <c r="J88" s="3"/>
      <c r="K88" s="67"/>
      <c r="L88" s="63"/>
      <c r="M88" s="63"/>
      <c r="N88" s="63"/>
      <c r="O88" s="63"/>
      <c r="P88" s="63"/>
      <c r="Q88" s="5"/>
      <c r="R88" s="5"/>
      <c r="S88" s="5"/>
      <c r="T88" s="5"/>
      <c r="U88" s="68"/>
      <c r="V88" s="5"/>
      <c r="W88" s="5"/>
      <c r="X88" s="63"/>
      <c r="Y88" s="5"/>
      <c r="Z88" s="5"/>
      <c r="AA88" s="5"/>
    </row>
    <row r="89" spans="1:27" ht="14.25" customHeight="1">
      <c r="A89" s="70"/>
      <c r="B89" s="70"/>
      <c r="C89" s="70"/>
      <c r="D89" s="70"/>
      <c r="E89" s="70"/>
      <c r="F89" s="70"/>
      <c r="G89" s="63"/>
      <c r="H89" s="3"/>
      <c r="I89" s="3"/>
      <c r="J89" s="3"/>
      <c r="K89" s="67"/>
      <c r="L89" s="63"/>
      <c r="M89" s="63"/>
      <c r="N89" s="63"/>
      <c r="O89" s="63"/>
      <c r="P89" s="63"/>
      <c r="Q89" s="5"/>
      <c r="R89" s="5"/>
      <c r="S89" s="5"/>
      <c r="T89" s="5"/>
      <c r="U89" s="5"/>
      <c r="V89" s="5"/>
      <c r="W89" s="5"/>
      <c r="X89" s="63"/>
      <c r="Y89" s="5"/>
      <c r="Z89" s="5"/>
      <c r="AA89" s="5"/>
    </row>
    <row r="90" spans="1:27" ht="15.75" customHeight="1">
      <c r="A90" s="70"/>
      <c r="B90" s="70"/>
      <c r="C90" s="70"/>
      <c r="D90" s="70"/>
      <c r="E90" s="70"/>
      <c r="F90" s="70"/>
      <c r="G90" s="63"/>
      <c r="H90" s="3"/>
      <c r="I90" s="3"/>
      <c r="J90" s="3"/>
      <c r="K90" s="63"/>
      <c r="L90" s="63"/>
      <c r="M90" s="63"/>
      <c r="N90" s="63"/>
      <c r="O90" s="63"/>
      <c r="P90" s="63"/>
      <c r="Q90" s="71" t="s">
        <v>34</v>
      </c>
      <c r="R90" s="71"/>
      <c r="S90" s="72"/>
      <c r="T90" s="71" t="s">
        <v>35</v>
      </c>
      <c r="U90" s="71"/>
      <c r="V90" s="66"/>
      <c r="W90" s="73" t="s">
        <v>129</v>
      </c>
      <c r="X90" s="63"/>
      <c r="Y90" s="5"/>
      <c r="Z90" s="5"/>
      <c r="AA90" s="5"/>
    </row>
    <row r="91" spans="1:27" ht="14.25" customHeight="1">
      <c r="A91" s="70"/>
      <c r="B91" s="70"/>
      <c r="C91" s="70"/>
      <c r="D91" s="70"/>
      <c r="E91" s="70"/>
      <c r="F91" s="70"/>
      <c r="G91" s="63"/>
      <c r="H91" s="3"/>
      <c r="I91" s="3"/>
      <c r="J91" s="3"/>
      <c r="K91" s="74"/>
      <c r="L91" s="74"/>
      <c r="M91" s="74"/>
      <c r="N91" s="74"/>
      <c r="O91" s="74"/>
      <c r="P91" s="74"/>
      <c r="Q91" s="75">
        <v>1</v>
      </c>
      <c r="R91" s="76"/>
      <c r="S91" s="66"/>
      <c r="T91" s="77">
        <v>1</v>
      </c>
      <c r="U91" s="76">
        <f>U17+U18+U20+U21+U22+U25+U26+U28+U29+U30</f>
        <v>63429089.030000001</v>
      </c>
      <c r="V91" s="66"/>
      <c r="W91" s="78">
        <f t="shared" ref="W91:W93" si="15">U91-R91</f>
        <v>63429089.030000001</v>
      </c>
      <c r="X91" s="63"/>
      <c r="Y91" s="68"/>
      <c r="Z91" s="5"/>
      <c r="AA91" s="5"/>
    </row>
    <row r="92" spans="1:27" ht="14.25" customHeight="1">
      <c r="A92" s="1"/>
      <c r="B92" s="79"/>
      <c r="C92" s="79"/>
      <c r="D92" s="79"/>
      <c r="E92" s="1"/>
      <c r="F92" s="1"/>
      <c r="G92" s="1"/>
      <c r="H92" s="2"/>
      <c r="I92" s="2"/>
      <c r="J92" s="3"/>
      <c r="K92" s="80"/>
      <c r="L92" s="80"/>
      <c r="M92" s="80"/>
      <c r="N92" s="80"/>
      <c r="O92" s="80"/>
      <c r="P92" s="80"/>
      <c r="Q92" s="81">
        <v>3</v>
      </c>
      <c r="R92" s="82"/>
      <c r="S92" s="83"/>
      <c r="T92" s="84">
        <v>3</v>
      </c>
      <c r="U92" s="82">
        <f>U15+U16+U19+U23+U24+U27+U35+U37+U41+U47+U49+U50+U51+U54+U57+U58+U59+U60+U62+U64+U65+U66+U67+U68+U70+U72+U75+U76</f>
        <v>12183546.219999997</v>
      </c>
      <c r="V92" s="85"/>
      <c r="W92" s="86">
        <f t="shared" si="15"/>
        <v>12183546.219999997</v>
      </c>
      <c r="X92" s="1"/>
      <c r="Y92" s="68"/>
      <c r="Z92" s="5"/>
      <c r="AA92" s="5"/>
    </row>
    <row r="93" spans="1:27" ht="14.25" customHeight="1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87">
        <v>4</v>
      </c>
      <c r="R93" s="88"/>
      <c r="S93" s="83"/>
      <c r="T93" s="89">
        <v>4</v>
      </c>
      <c r="U93" s="88">
        <f>U34+U36+U38+U40+U42+U43+U48+U52+U53+U55+U61+U63+U69+U71+U73+U74</f>
        <v>0</v>
      </c>
      <c r="V93" s="90"/>
      <c r="W93" s="91">
        <f t="shared" si="15"/>
        <v>0</v>
      </c>
      <c r="X93" s="5"/>
      <c r="Y93" s="5"/>
      <c r="Z93" s="5"/>
      <c r="AA93" s="5"/>
    </row>
    <row r="94" spans="1:27" ht="14.25" customHeight="1">
      <c r="A94" s="5"/>
      <c r="B94" s="5"/>
      <c r="C94" s="5"/>
      <c r="D94" s="5"/>
      <c r="E94" s="5"/>
      <c r="F94" s="5"/>
      <c r="G94" s="5"/>
      <c r="H94" s="5"/>
      <c r="I94" s="5"/>
      <c r="J94" s="5"/>
      <c r="K94" s="154" t="s">
        <v>130</v>
      </c>
      <c r="L94" s="155"/>
      <c r="M94" s="155"/>
      <c r="N94" s="156"/>
      <c r="O94" s="5"/>
      <c r="P94" s="5"/>
      <c r="Q94" s="136" t="s">
        <v>131</v>
      </c>
      <c r="R94" s="137"/>
      <c r="S94" s="63"/>
      <c r="T94" s="138" t="s">
        <v>132</v>
      </c>
      <c r="U94" s="137"/>
      <c r="V94" s="90"/>
      <c r="W94" s="85"/>
      <c r="X94" s="5"/>
      <c r="Y94" s="5"/>
      <c r="Z94" s="5"/>
      <c r="AA94" s="5"/>
    </row>
    <row r="95" spans="1:27" ht="14.25" customHeight="1">
      <c r="A95" s="5"/>
      <c r="B95" s="5"/>
      <c r="C95" s="5" t="s">
        <v>133</v>
      </c>
      <c r="D95" s="5"/>
      <c r="E95" s="5"/>
      <c r="F95" s="134" t="s">
        <v>134</v>
      </c>
      <c r="G95" s="135"/>
      <c r="H95" s="135"/>
      <c r="I95" s="135"/>
      <c r="J95" s="5"/>
      <c r="K95" s="92"/>
      <c r="L95" s="92"/>
      <c r="M95" s="92"/>
      <c r="N95" s="92"/>
      <c r="O95" s="5"/>
      <c r="P95" s="5"/>
      <c r="Q95" s="74"/>
      <c r="R95" s="74"/>
      <c r="S95" s="74"/>
      <c r="T95" s="13"/>
      <c r="U95" s="85"/>
      <c r="V95" s="90"/>
      <c r="W95" s="5"/>
      <c r="X95" s="68"/>
      <c r="Y95" s="5"/>
      <c r="Z95" s="5"/>
      <c r="AA95" s="5"/>
    </row>
    <row r="96" spans="1:27" ht="14.25" customHeight="1">
      <c r="A96" s="5"/>
      <c r="B96" s="5"/>
      <c r="C96" s="5" t="s">
        <v>135</v>
      </c>
      <c r="D96" s="5"/>
      <c r="E96" s="5"/>
      <c r="F96" s="5" t="s">
        <v>135</v>
      </c>
      <c r="G96" s="5"/>
      <c r="H96" s="5"/>
      <c r="I96" s="5"/>
      <c r="J96" s="5"/>
      <c r="K96" s="92"/>
      <c r="L96" s="92" t="s">
        <v>135</v>
      </c>
      <c r="M96" s="92"/>
      <c r="N96" s="92"/>
      <c r="O96" s="5"/>
      <c r="P96" s="5"/>
      <c r="Q96" s="80"/>
      <c r="R96" s="80"/>
      <c r="S96" s="80"/>
      <c r="T96" s="93" t="s">
        <v>136</v>
      </c>
      <c r="U96" s="94">
        <f>SUM(U91:U93)</f>
        <v>75612635.25</v>
      </c>
      <c r="V96" s="5"/>
      <c r="W96" s="68">
        <f>SUM(W91:W95)</f>
        <v>75612635.25</v>
      </c>
      <c r="X96" s="68"/>
      <c r="Y96" s="68"/>
      <c r="Z96" s="5"/>
      <c r="AA96" s="5"/>
    </row>
    <row r="97" spans="1:27" ht="14.25" customHeight="1">
      <c r="A97" s="5"/>
      <c r="B97" s="5"/>
      <c r="C97" s="5">
        <v>1</v>
      </c>
      <c r="D97" s="30">
        <f>W17+W18+W21+W22+W25+W26+W28+W29+W30</f>
        <v>62010156.049999997</v>
      </c>
      <c r="E97" s="5"/>
      <c r="F97" s="5">
        <v>1</v>
      </c>
      <c r="G97" s="30">
        <f>S17+S18+S21+S22+S25+S26+S28+S29+S30</f>
        <v>63539270.019999996</v>
      </c>
      <c r="H97" s="5"/>
      <c r="I97" s="5"/>
      <c r="J97" s="5"/>
      <c r="K97" s="95" t="s">
        <v>137</v>
      </c>
      <c r="L97" s="95">
        <v>1</v>
      </c>
      <c r="M97" s="96">
        <f>L17+L18+L21+L22+L25+L26+L28+L29+L30</f>
        <v>6436000</v>
      </c>
      <c r="N97" s="97">
        <f>M97-M98+Q78</f>
        <v>0</v>
      </c>
      <c r="O97" s="5"/>
      <c r="P97" s="5"/>
      <c r="Q97" s="5"/>
      <c r="R97" s="98"/>
      <c r="S97" s="5"/>
      <c r="T97" s="5"/>
      <c r="U97" s="5"/>
      <c r="V97" s="5"/>
      <c r="W97" s="5"/>
      <c r="X97" s="68"/>
      <c r="Y97" s="5"/>
      <c r="Z97" s="5"/>
      <c r="AA97" s="5"/>
    </row>
    <row r="98" spans="1:27" ht="14.25" customHeight="1">
      <c r="A98" s="5"/>
      <c r="B98" s="5"/>
      <c r="C98" s="5">
        <v>3</v>
      </c>
      <c r="D98" s="30">
        <f>W15+W16+W19+W23+W24+W27+W35+W37+W41+W47+W49+W50+W51+W54+W57+W58+W59+W60+W62+W64+W65+W66+W67+W68+W70+W72+W75+W76</f>
        <v>12145641.789999999</v>
      </c>
      <c r="E98" s="5"/>
      <c r="F98" s="5">
        <v>3</v>
      </c>
      <c r="G98" s="30">
        <f>S15+S16+S19+S23+S24+S27+S35+S37+S41+S47+S49+S50+S51+S54+S57+S58+S59+S60+S62+S64+S65+S66+S67+S68+S70+S72+S75+S76</f>
        <v>63216015.570000008</v>
      </c>
      <c r="H98" s="5"/>
      <c r="I98" s="5"/>
      <c r="J98" s="5"/>
      <c r="K98" s="92" t="s">
        <v>138</v>
      </c>
      <c r="L98" s="92">
        <v>1</v>
      </c>
      <c r="M98" s="99">
        <f>M17+M18+M21+M22+M25+M26+M28+M29+M30</f>
        <v>6436000</v>
      </c>
      <c r="N98" s="92"/>
      <c r="O98" s="5"/>
      <c r="P98" s="5"/>
      <c r="Q98" s="5"/>
      <c r="R98" s="98"/>
      <c r="S98" s="5"/>
      <c r="T98" s="5"/>
      <c r="U98" s="5"/>
      <c r="V98" s="5"/>
      <c r="W98" s="5"/>
      <c r="X98" s="68"/>
      <c r="Y98" s="68"/>
      <c r="Z98" s="5"/>
      <c r="AA98" s="5"/>
    </row>
    <row r="99" spans="1:27" ht="14.25" customHeight="1">
      <c r="A99" s="5"/>
      <c r="B99" s="5"/>
      <c r="C99" s="5">
        <v>4</v>
      </c>
      <c r="D99" s="100">
        <f>W34+W36+W38+W40+W42+W43+W48+W52+W53+W55+W61+W63+W69+W71+W73+W74</f>
        <v>0</v>
      </c>
      <c r="E99" s="5"/>
      <c r="F99" s="5">
        <v>4</v>
      </c>
      <c r="G99" s="30">
        <f>S34+S36+S38+S40+S42+S43+S48+S52+S53+S55+S61+S63+S69+S71+S73+S74</f>
        <v>702485.19000000006</v>
      </c>
      <c r="H99" s="5"/>
      <c r="I99" s="5"/>
      <c r="J99" s="5"/>
      <c r="K99" s="92"/>
      <c r="L99" s="92"/>
      <c r="M99" s="92"/>
      <c r="N99" s="92"/>
      <c r="O99" s="5"/>
      <c r="P99" s="5"/>
      <c r="Q99" s="5"/>
      <c r="R99" s="98"/>
      <c r="S99" s="5"/>
      <c r="T99" s="101" t="s">
        <v>139</v>
      </c>
      <c r="U99" s="102">
        <f>U15+U16+U19+U23+U24+U27</f>
        <v>10220878.82</v>
      </c>
      <c r="V99" s="5"/>
      <c r="W99" s="68"/>
      <c r="X99" s="68"/>
      <c r="Y99" s="5"/>
      <c r="Z99" s="5"/>
      <c r="AA99" s="5"/>
    </row>
    <row r="100" spans="1:27" ht="14.25" customHeight="1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92"/>
      <c r="L100" s="92"/>
      <c r="M100" s="97">
        <f>M97-M98</f>
        <v>0</v>
      </c>
      <c r="N100" s="92"/>
      <c r="O100" s="5"/>
      <c r="P100" s="5"/>
      <c r="Q100" s="5"/>
      <c r="R100" s="5"/>
      <c r="S100" s="5"/>
      <c r="T100" s="101" t="s">
        <v>140</v>
      </c>
      <c r="U100" s="102">
        <f>U41+U43+U51+U52+U54+U58+U60+U61+U62+U65</f>
        <v>565823.31999999995</v>
      </c>
      <c r="V100" s="68"/>
      <c r="W100" s="68"/>
      <c r="X100" s="68"/>
      <c r="Y100" s="5"/>
      <c r="Z100" s="5"/>
      <c r="AA100" s="5"/>
    </row>
    <row r="101" spans="1:27" ht="14.25" customHeight="1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92"/>
      <c r="L101" s="92"/>
      <c r="M101" s="92"/>
      <c r="N101" s="92"/>
      <c r="O101" s="5"/>
      <c r="P101" s="5"/>
      <c r="Q101" s="5"/>
      <c r="R101" s="5"/>
      <c r="S101" s="5"/>
      <c r="T101" s="101" t="s">
        <v>136</v>
      </c>
      <c r="U101" s="102">
        <f>U99+U100</f>
        <v>10786702.140000001</v>
      </c>
      <c r="V101" s="68"/>
      <c r="W101" s="68"/>
      <c r="X101" s="68"/>
      <c r="Y101" s="5"/>
      <c r="Z101" s="5"/>
      <c r="AA101" s="5"/>
    </row>
    <row r="102" spans="1:27" ht="14.25" customHeight="1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92"/>
      <c r="L102" s="92" t="s">
        <v>141</v>
      </c>
      <c r="M102" s="92"/>
      <c r="N102" s="92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</row>
    <row r="103" spans="1:27" ht="14.25" customHeight="1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95" t="s">
        <v>137</v>
      </c>
      <c r="L103" s="95">
        <v>3</v>
      </c>
      <c r="M103" s="96">
        <f>L15+L16+L19+L23+L24+L27+L35+L37+L41+L47+L49+L50+L51+L54+L57+L58+L59+L60+L62+L64+L65+L66+L67+L68+L70+L72+L75+L76</f>
        <v>396000</v>
      </c>
      <c r="N103" s="97">
        <f>M103-M104</f>
        <v>0</v>
      </c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</row>
    <row r="104" spans="1:27" ht="14.25" customHeight="1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92" t="s">
        <v>142</v>
      </c>
      <c r="L104" s="92">
        <v>3</v>
      </c>
      <c r="M104" s="99">
        <f>M15+M16+M19+M23+M24+M27+M35+M37+M41+M47+M49+M50+M51+M54+M57+M58+M59+M60+M62+M64+M65+M66+M67+M68+M70+M72+M75+M76</f>
        <v>396000</v>
      </c>
      <c r="N104" s="92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</row>
    <row r="105" spans="1:27" ht="14.25" customHeight="1">
      <c r="A105" s="5"/>
      <c r="B105" s="5"/>
      <c r="C105" s="5"/>
      <c r="D105" s="68"/>
      <c r="E105" s="5"/>
      <c r="F105" s="5"/>
      <c r="G105" s="5"/>
      <c r="H105" s="5"/>
      <c r="I105" s="5"/>
      <c r="J105" s="5"/>
      <c r="K105" s="92"/>
      <c r="L105" s="92"/>
      <c r="M105" s="92"/>
      <c r="N105" s="92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</row>
    <row r="106" spans="1:27" ht="14.25" customHeight="1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92"/>
      <c r="L106" s="92"/>
      <c r="M106" s="97">
        <f>M103-M104</f>
        <v>0</v>
      </c>
      <c r="N106" s="92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</row>
    <row r="107" spans="1:27" ht="14.25" customHeight="1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92"/>
      <c r="L107" s="92"/>
      <c r="M107" s="92"/>
      <c r="N107" s="92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</row>
    <row r="108" spans="1:27" ht="14.25" customHeight="1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92"/>
      <c r="L108" s="92" t="s">
        <v>135</v>
      </c>
      <c r="M108" s="92"/>
      <c r="N108" s="92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</row>
    <row r="109" spans="1:27" ht="14.25" customHeight="1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95" t="s">
        <v>143</v>
      </c>
      <c r="L109" s="95">
        <v>4</v>
      </c>
      <c r="M109" s="96">
        <f>L34+L36+L38+L40+L42+L43+L48+L52+L53+L55+L61+L63+L69+L71+L73+L74</f>
        <v>1148820.79</v>
      </c>
      <c r="N109" s="97">
        <f>M109-M110</f>
        <v>-9926406.2899999991</v>
      </c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</row>
    <row r="110" spans="1:27" ht="14.25" customHeight="1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92" t="s">
        <v>144</v>
      </c>
      <c r="L110" s="92">
        <v>4</v>
      </c>
      <c r="M110" s="99">
        <f>M34+M36+M38+M40+M42+M43+M48+M52+M53+M55+M61+M63+M69+M71+M73+M74</f>
        <v>11075227.08</v>
      </c>
      <c r="N110" s="92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</row>
    <row r="111" spans="1:27" ht="14.25" customHeight="1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92"/>
      <c r="L111" s="92"/>
      <c r="M111" s="92"/>
      <c r="N111" s="97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</row>
    <row r="112" spans="1:27" ht="14.25" customHeight="1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68">
        <f>M109-M110</f>
        <v>-9926406.2899999991</v>
      </c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</row>
    <row r="113" spans="1:27" ht="14.25" customHeight="1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68">
        <f>N97+N103+N109</f>
        <v>-9926406.2899999991</v>
      </c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</row>
    <row r="114" spans="1:27" ht="14.25" customHeight="1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</row>
    <row r="115" spans="1:27" ht="14.25" customHeight="1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</row>
    <row r="116" spans="1:27" ht="14.25" customHeight="1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</row>
    <row r="117" spans="1:27" ht="14.25" customHeight="1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</row>
    <row r="118" spans="1:27" ht="14.25" customHeight="1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</row>
    <row r="119" spans="1:27" ht="14.25" customHeight="1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</row>
    <row r="120" spans="1:27" ht="14.25" customHeight="1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</row>
    <row r="121" spans="1:27" ht="14.25" customHeight="1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</row>
    <row r="122" spans="1:27" ht="14.25" customHeight="1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</row>
    <row r="123" spans="1:27" ht="14.25" customHeight="1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</row>
    <row r="124" spans="1:27" ht="14.25" customHeight="1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</row>
    <row r="125" spans="1:27" ht="14.25" customHeight="1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</row>
    <row r="126" spans="1:27" ht="14.25" customHeight="1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</row>
    <row r="127" spans="1:27" ht="14.25" customHeight="1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</row>
    <row r="128" spans="1:27" ht="14.25" customHeight="1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</row>
    <row r="129" spans="1:27" ht="14.25" customHeight="1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</row>
    <row r="130" spans="1:27" ht="14.25" customHeight="1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</row>
    <row r="131" spans="1:27" ht="14.25" customHeight="1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</row>
    <row r="132" spans="1:27" ht="14.25" customHeight="1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</row>
    <row r="133" spans="1:27" ht="14.25" customHeight="1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</row>
    <row r="134" spans="1:27" ht="14.25" customHeight="1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</row>
    <row r="135" spans="1:27" ht="14.25" customHeight="1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</row>
    <row r="136" spans="1:27" ht="14.25" customHeight="1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</row>
    <row r="137" spans="1:27" ht="14.25" customHeight="1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</row>
    <row r="138" spans="1:27" ht="14.25" customHeight="1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</row>
    <row r="139" spans="1:27" ht="14.25" customHeight="1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</row>
    <row r="140" spans="1:27" ht="14.25" customHeight="1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</row>
    <row r="141" spans="1:27" ht="14.25" customHeight="1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</row>
    <row r="142" spans="1:27" ht="14.25" customHeight="1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</row>
    <row r="143" spans="1:27" ht="14.25" customHeight="1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</row>
    <row r="144" spans="1:27" ht="14.25" customHeight="1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</row>
    <row r="145" spans="1:27" ht="14.25" customHeight="1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</row>
    <row r="146" spans="1:27" ht="14.25" customHeight="1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</row>
    <row r="147" spans="1:27" ht="14.25" customHeight="1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</row>
    <row r="148" spans="1:27" ht="14.25" customHeight="1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</row>
    <row r="149" spans="1:27" ht="14.25" customHeight="1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</row>
    <row r="150" spans="1:27" ht="14.25" customHeight="1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</row>
    <row r="151" spans="1:27" ht="14.25" customHeight="1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</row>
    <row r="152" spans="1:27" ht="14.25" customHeight="1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</row>
    <row r="153" spans="1:27" ht="14.25" customHeight="1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</row>
    <row r="154" spans="1:27" ht="14.25" customHeight="1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</row>
    <row r="155" spans="1:27" ht="14.25" customHeight="1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</row>
    <row r="156" spans="1:27" ht="14.25" customHeight="1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</row>
    <row r="157" spans="1:27" ht="14.25" customHeight="1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</row>
    <row r="158" spans="1:27" ht="14.25" customHeight="1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</row>
    <row r="159" spans="1:27" ht="14.25" customHeight="1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</row>
    <row r="160" spans="1:27" ht="14.25" customHeight="1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</row>
    <row r="161" spans="1:27" ht="14.25" customHeight="1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</row>
    <row r="162" spans="1:27" ht="14.25" customHeight="1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</row>
    <row r="163" spans="1:27" ht="14.25" customHeight="1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</row>
    <row r="164" spans="1:27" ht="14.25" customHeight="1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</row>
    <row r="165" spans="1:27" ht="14.25" customHeight="1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</row>
    <row r="166" spans="1:27" ht="14.25" customHeight="1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</row>
    <row r="167" spans="1:27" ht="14.25" customHeight="1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</row>
    <row r="168" spans="1:27" ht="14.25" customHeight="1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</row>
    <row r="169" spans="1:27" ht="14.25" customHeight="1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</row>
    <row r="170" spans="1:27" ht="14.25" customHeight="1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</row>
    <row r="171" spans="1:27" ht="14.25" customHeight="1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</row>
    <row r="172" spans="1:27" ht="14.25" customHeight="1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</row>
    <row r="173" spans="1:27" ht="14.25" customHeight="1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</row>
    <row r="174" spans="1:27" ht="14.25" customHeight="1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</row>
    <row r="175" spans="1:27" ht="14.25" customHeight="1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</row>
    <row r="176" spans="1:27" ht="14.25" customHeight="1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</row>
    <row r="177" spans="1:27" ht="14.25" customHeight="1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</row>
    <row r="178" spans="1:27" ht="14.25" customHeight="1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</row>
    <row r="179" spans="1:27" ht="14.25" customHeight="1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</row>
    <row r="180" spans="1:27" ht="14.25" customHeight="1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</row>
    <row r="181" spans="1:27" ht="14.25" customHeight="1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</row>
    <row r="182" spans="1:27" ht="14.25" customHeight="1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</row>
    <row r="183" spans="1:27" ht="14.25" customHeight="1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</row>
    <row r="184" spans="1:27" ht="14.25" customHeight="1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</row>
    <row r="185" spans="1:27" ht="14.25" customHeight="1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</row>
    <row r="186" spans="1:27" ht="14.25" customHeight="1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</row>
    <row r="187" spans="1:27" ht="14.25" customHeight="1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</row>
    <row r="188" spans="1:27" ht="14.25" customHeight="1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</row>
    <row r="189" spans="1:27" ht="14.25" customHeight="1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</row>
    <row r="190" spans="1:27" ht="14.25" customHeight="1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</row>
    <row r="191" spans="1:27" ht="14.25" customHeight="1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</row>
    <row r="192" spans="1:27" ht="14.25" customHeight="1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</row>
    <row r="193" spans="1:27" ht="14.25" customHeight="1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</row>
    <row r="194" spans="1:27" ht="14.25" customHeight="1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</row>
    <row r="195" spans="1:27" ht="14.25" customHeight="1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</row>
    <row r="196" spans="1:27" ht="14.25" customHeight="1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</row>
    <row r="197" spans="1:27" ht="14.25" customHeight="1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</row>
    <row r="198" spans="1:27" ht="14.25" customHeight="1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</row>
    <row r="199" spans="1:27" ht="14.25" customHeight="1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</row>
    <row r="200" spans="1:27" ht="14.25" customHeight="1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</row>
    <row r="201" spans="1:27" ht="14.25" customHeight="1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</row>
    <row r="202" spans="1:27" ht="14.25" customHeight="1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</row>
    <row r="203" spans="1:27" ht="14.25" customHeight="1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</row>
    <row r="204" spans="1:27" ht="14.25" customHeight="1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</row>
    <row r="205" spans="1:27" ht="14.25" customHeight="1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</row>
    <row r="206" spans="1:27" ht="14.25" customHeight="1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</row>
    <row r="207" spans="1:27" ht="14.25" customHeight="1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</row>
    <row r="208" spans="1:27" ht="14.25" customHeight="1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</row>
    <row r="209" spans="1:27" ht="14.25" customHeight="1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</row>
    <row r="210" spans="1:27" ht="14.25" customHeight="1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</row>
    <row r="211" spans="1:27" ht="14.25" customHeight="1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</row>
    <row r="212" spans="1:27" ht="14.25" customHeight="1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</row>
    <row r="213" spans="1:27" ht="14.25" customHeight="1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</row>
    <row r="214" spans="1:27" ht="14.25" customHeight="1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</row>
    <row r="215" spans="1:27" ht="14.25" customHeight="1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</row>
    <row r="216" spans="1:27" ht="14.25" customHeight="1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</row>
    <row r="217" spans="1:27" ht="14.25" customHeight="1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</row>
    <row r="218" spans="1:27" ht="14.25" customHeight="1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</row>
    <row r="219" spans="1:27" ht="14.25" customHeight="1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</row>
    <row r="220" spans="1:27" ht="14.25" customHeight="1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</row>
    <row r="221" spans="1:27" ht="14.25" customHeight="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</row>
    <row r="222" spans="1:27" ht="14.25" customHeight="1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</row>
    <row r="223" spans="1:27" ht="14.25" customHeight="1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</row>
    <row r="224" spans="1:27" ht="14.25" customHeight="1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</row>
    <row r="225" spans="1:27" ht="14.25" customHeight="1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</row>
    <row r="226" spans="1:27" ht="14.25" customHeight="1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</row>
    <row r="227" spans="1:27" ht="14.25" customHeight="1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</row>
    <row r="228" spans="1:27" ht="14.25" customHeight="1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</row>
    <row r="229" spans="1:27" ht="14.25" customHeight="1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</row>
    <row r="230" spans="1:27" ht="14.25" customHeight="1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</row>
    <row r="231" spans="1:27" ht="14.25" customHeight="1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</row>
    <row r="232" spans="1:27" ht="14.25" customHeight="1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</row>
    <row r="233" spans="1:27" ht="14.25" customHeight="1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</row>
    <row r="234" spans="1:27" ht="14.25" customHeight="1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</row>
    <row r="235" spans="1:27" ht="14.25" customHeight="1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</row>
    <row r="236" spans="1:27" ht="14.25" customHeight="1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</row>
    <row r="237" spans="1:27" ht="14.25" customHeight="1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</row>
    <row r="238" spans="1:27" ht="14.25" customHeight="1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</row>
    <row r="239" spans="1:27" ht="14.25" customHeight="1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</row>
    <row r="240" spans="1:27" ht="14.25" customHeight="1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</row>
    <row r="241" spans="1:27" ht="14.25" customHeight="1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</row>
    <row r="242" spans="1:27" ht="14.25" customHeight="1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</row>
    <row r="243" spans="1:27" ht="14.25" customHeight="1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</row>
    <row r="244" spans="1:27" ht="14.25" customHeight="1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</row>
    <row r="245" spans="1:27" ht="14.25" customHeight="1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</row>
    <row r="246" spans="1:27" ht="14.25" customHeight="1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</row>
    <row r="247" spans="1:27" ht="14.25" customHeight="1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</row>
    <row r="248" spans="1:27" ht="14.25" customHeight="1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</row>
    <row r="249" spans="1:27" ht="14.25" customHeight="1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</row>
    <row r="250" spans="1:27" ht="14.25" customHeight="1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</row>
    <row r="251" spans="1:27" ht="14.25" customHeight="1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</row>
    <row r="252" spans="1:27" ht="14.25" customHeight="1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</row>
    <row r="253" spans="1:27" ht="14.25" customHeight="1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</row>
    <row r="254" spans="1:27" ht="14.25" customHeight="1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</row>
    <row r="255" spans="1:27" ht="14.25" customHeight="1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</row>
    <row r="256" spans="1:27" ht="14.25" customHeight="1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</row>
    <row r="257" spans="1:27" ht="14.25" customHeight="1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</row>
    <row r="258" spans="1:27" ht="14.25" customHeight="1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</row>
    <row r="259" spans="1:27" ht="14.25" customHeight="1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</row>
    <row r="260" spans="1:27" ht="14.25" customHeight="1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</row>
    <row r="261" spans="1:27" ht="14.25" customHeight="1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</row>
    <row r="262" spans="1:27" ht="14.25" customHeight="1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</row>
    <row r="263" spans="1:27" ht="14.25" customHeight="1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</row>
    <row r="264" spans="1:27" ht="14.25" customHeight="1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</row>
    <row r="265" spans="1:27" ht="14.25" customHeight="1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</row>
    <row r="266" spans="1:27" ht="14.25" customHeight="1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</row>
    <row r="267" spans="1:27" ht="14.25" customHeight="1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</row>
    <row r="268" spans="1:27" ht="14.25" customHeight="1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</row>
    <row r="269" spans="1:27" ht="14.25" customHeight="1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</row>
    <row r="270" spans="1:27" ht="14.25" customHeight="1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</row>
    <row r="271" spans="1:27" ht="14.25" customHeight="1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</row>
    <row r="272" spans="1:27" ht="14.25" customHeight="1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</row>
    <row r="273" spans="1:27" ht="14.25" customHeight="1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</row>
    <row r="274" spans="1:27" ht="14.25" customHeight="1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</row>
    <row r="275" spans="1:27" ht="14.25" customHeight="1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</row>
    <row r="276" spans="1:27" ht="14.25" customHeight="1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</row>
    <row r="277" spans="1:27" ht="14.25" customHeight="1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</row>
    <row r="278" spans="1:27" ht="14.25" customHeight="1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</row>
    <row r="279" spans="1:27" ht="14.25" customHeight="1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</row>
    <row r="280" spans="1:27" ht="14.25" customHeight="1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</row>
    <row r="281" spans="1:27" ht="14.25" customHeight="1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</row>
    <row r="282" spans="1:27" ht="14.25" customHeight="1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</row>
    <row r="283" spans="1:27" ht="14.25" customHeight="1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</row>
    <row r="284" spans="1:27" ht="14.25" customHeight="1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</row>
    <row r="285" spans="1:27" ht="14.25" customHeight="1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</row>
    <row r="286" spans="1:27" ht="14.25" customHeight="1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</row>
    <row r="287" spans="1:27" ht="14.25" customHeight="1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</row>
    <row r="288" spans="1:27" ht="14.25" customHeight="1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</row>
    <row r="289" spans="1:27" ht="14.25" customHeight="1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</row>
    <row r="290" spans="1:27" ht="14.25" customHeight="1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</row>
    <row r="291" spans="1:27" ht="14.25" customHeight="1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</row>
    <row r="292" spans="1:27" ht="14.25" customHeight="1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</row>
    <row r="293" spans="1:27" ht="14.25" customHeight="1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</row>
    <row r="294" spans="1:27" ht="14.25" customHeight="1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</row>
    <row r="295" spans="1:27" ht="14.25" customHeight="1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</row>
    <row r="296" spans="1:27" ht="14.25" customHeight="1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</row>
    <row r="297" spans="1:27" ht="14.25" customHeight="1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</row>
    <row r="298" spans="1:27" ht="14.25" customHeight="1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</row>
    <row r="299" spans="1:27" ht="14.25" customHeight="1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</row>
    <row r="300" spans="1:27" ht="14.25" customHeight="1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</row>
    <row r="301" spans="1:27" ht="14.25" customHeight="1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</row>
    <row r="302" spans="1:27" ht="14.25" customHeight="1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</row>
    <row r="303" spans="1:27" ht="14.25" customHeight="1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</row>
    <row r="304" spans="1:27" ht="14.25" customHeight="1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</row>
    <row r="305" spans="1:27" ht="14.25" customHeight="1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</row>
    <row r="306" spans="1:27" ht="14.25" customHeight="1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</row>
    <row r="307" spans="1:27" ht="14.25" customHeight="1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</row>
    <row r="308" spans="1:27" ht="14.25" customHeight="1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</row>
    <row r="309" spans="1:27" ht="14.25" customHeight="1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</row>
    <row r="310" spans="1:27" ht="14.25" customHeight="1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</row>
    <row r="311" spans="1:27" ht="14.25" customHeight="1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</row>
    <row r="312" spans="1:27" ht="14.25" customHeight="1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</row>
    <row r="313" spans="1:27" ht="14.25" customHeight="1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</row>
    <row r="314" spans="1:27" ht="14.25" customHeight="1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</row>
    <row r="315" spans="1:27" ht="14.25" customHeight="1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</row>
    <row r="316" spans="1:27" ht="14.25" customHeight="1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</row>
    <row r="317" spans="1:27" ht="14.25" customHeight="1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</row>
    <row r="318" spans="1:27" ht="14.25" customHeight="1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</row>
    <row r="319" spans="1:27" ht="14.25" customHeight="1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</row>
    <row r="320" spans="1:27" ht="14.25" customHeight="1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</row>
    <row r="321" spans="1:27" ht="14.25" customHeight="1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</row>
    <row r="322" spans="1:27" ht="14.25" customHeight="1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</row>
    <row r="323" spans="1:27" ht="14.25" customHeight="1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</row>
    <row r="324" spans="1:27" ht="14.25" customHeight="1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</row>
    <row r="325" spans="1:27" ht="14.25" customHeight="1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</row>
    <row r="326" spans="1:27" ht="14.25" customHeight="1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</row>
    <row r="327" spans="1:27" ht="14.25" customHeight="1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</row>
    <row r="328" spans="1:27" ht="14.25" customHeight="1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</row>
    <row r="329" spans="1:27" ht="14.25" customHeight="1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</row>
    <row r="330" spans="1:27" ht="14.25" customHeight="1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</row>
    <row r="331" spans="1:27" ht="14.25" customHeight="1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</row>
    <row r="332" spans="1:27" ht="14.25" customHeight="1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</row>
    <row r="333" spans="1:27" ht="14.25" customHeight="1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</row>
    <row r="334" spans="1:27" ht="14.25" customHeight="1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</row>
    <row r="335" spans="1:27" ht="14.25" customHeight="1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</row>
    <row r="336" spans="1:27" ht="14.25" customHeight="1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</row>
    <row r="337" spans="1:27" ht="14.25" customHeight="1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</row>
    <row r="338" spans="1:27" ht="14.25" customHeight="1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</row>
    <row r="339" spans="1:27" ht="14.25" customHeight="1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</row>
    <row r="340" spans="1:27" ht="14.25" customHeight="1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</row>
    <row r="341" spans="1:27" ht="14.25" customHeight="1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</row>
    <row r="342" spans="1:27" ht="14.25" customHeight="1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</row>
    <row r="343" spans="1:27" ht="14.25" customHeight="1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</row>
    <row r="344" spans="1:27" ht="14.25" customHeight="1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</row>
    <row r="345" spans="1:27" ht="14.25" customHeight="1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</row>
    <row r="346" spans="1:27" ht="14.25" customHeight="1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</row>
    <row r="347" spans="1:27" ht="14.25" customHeight="1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</row>
    <row r="348" spans="1:27" ht="14.25" customHeight="1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</row>
    <row r="349" spans="1:27" ht="14.25" customHeight="1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</row>
    <row r="350" spans="1:27" ht="14.25" customHeight="1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</row>
    <row r="351" spans="1:27" ht="14.25" customHeight="1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</row>
    <row r="352" spans="1:27" ht="14.25" customHeight="1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</row>
    <row r="353" spans="1:27" ht="14.25" customHeight="1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</row>
    <row r="354" spans="1:27" ht="14.25" customHeight="1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</row>
    <row r="355" spans="1:27" ht="14.25" customHeight="1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</row>
    <row r="356" spans="1:27" ht="14.25" customHeight="1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</row>
    <row r="357" spans="1:27" ht="14.25" customHeight="1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</row>
    <row r="358" spans="1:27" ht="14.25" customHeight="1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</row>
    <row r="359" spans="1:27" ht="14.25" customHeight="1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</row>
    <row r="360" spans="1:27" ht="14.25" customHeight="1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</row>
    <row r="361" spans="1:27" ht="14.25" customHeight="1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</row>
    <row r="362" spans="1:27" ht="14.25" customHeight="1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</row>
    <row r="363" spans="1:27" ht="14.25" customHeight="1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</row>
    <row r="364" spans="1:27" ht="14.25" customHeight="1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</row>
    <row r="365" spans="1:27" ht="14.25" customHeight="1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</row>
    <row r="366" spans="1:27" ht="14.25" customHeight="1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</row>
    <row r="367" spans="1:27" ht="14.25" customHeight="1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</row>
    <row r="368" spans="1:27" ht="14.25" customHeight="1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</row>
    <row r="369" spans="1:27" ht="14.25" customHeight="1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</row>
    <row r="370" spans="1:27" ht="14.25" customHeight="1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</row>
    <row r="371" spans="1:27" ht="14.25" customHeight="1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</row>
    <row r="372" spans="1:27" ht="14.25" customHeight="1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</row>
    <row r="373" spans="1:27" ht="14.25" customHeight="1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</row>
    <row r="374" spans="1:27" ht="14.25" customHeight="1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</row>
    <row r="375" spans="1:27" ht="14.25" customHeight="1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</row>
    <row r="376" spans="1:27" ht="14.25" customHeight="1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</row>
    <row r="377" spans="1:27" ht="14.25" customHeight="1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</row>
    <row r="378" spans="1:27" ht="14.25" customHeight="1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</row>
    <row r="379" spans="1:27" ht="14.25" customHeight="1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</row>
    <row r="380" spans="1:27" ht="14.25" customHeight="1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</row>
    <row r="381" spans="1:27" ht="14.25" customHeight="1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</row>
    <row r="382" spans="1:27" ht="14.25" customHeight="1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</row>
    <row r="383" spans="1:27" ht="14.25" customHeight="1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</row>
    <row r="384" spans="1:27" ht="14.25" customHeight="1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</row>
    <row r="385" spans="1:27" ht="14.25" customHeight="1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</row>
    <row r="386" spans="1:27" ht="14.25" customHeight="1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</row>
    <row r="387" spans="1:27" ht="14.25" customHeight="1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</row>
    <row r="388" spans="1:27" ht="14.25" customHeight="1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</row>
    <row r="389" spans="1:27" ht="14.25" customHeight="1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</row>
    <row r="390" spans="1:27" ht="14.25" customHeight="1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</row>
    <row r="391" spans="1:27" ht="14.25" customHeight="1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</row>
    <row r="392" spans="1:27" ht="14.25" customHeight="1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</row>
    <row r="393" spans="1:27" ht="14.25" customHeight="1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</row>
    <row r="394" spans="1:27" ht="14.25" customHeight="1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</row>
    <row r="395" spans="1:27" ht="14.25" customHeight="1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</row>
    <row r="396" spans="1:27" ht="14.25" customHeight="1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</row>
    <row r="397" spans="1:27" ht="14.25" customHeight="1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</row>
    <row r="398" spans="1:27" ht="14.25" customHeight="1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</row>
    <row r="399" spans="1:27" ht="14.25" customHeight="1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</row>
    <row r="400" spans="1:27" ht="14.25" customHeight="1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</row>
    <row r="401" spans="1:27" ht="14.25" customHeight="1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</row>
    <row r="402" spans="1:27" ht="14.25" customHeight="1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</row>
    <row r="403" spans="1:27" ht="14.25" customHeight="1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</row>
    <row r="404" spans="1:27" ht="14.25" customHeight="1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</row>
    <row r="405" spans="1:27" ht="14.25" customHeight="1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</row>
    <row r="406" spans="1:27" ht="14.25" customHeight="1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</row>
    <row r="407" spans="1:27" ht="14.25" customHeight="1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</row>
    <row r="408" spans="1:27" ht="14.25" customHeight="1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</row>
    <row r="409" spans="1:27" ht="14.25" customHeight="1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</row>
    <row r="410" spans="1:27" ht="14.25" customHeight="1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</row>
    <row r="411" spans="1:27" ht="14.25" customHeight="1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</row>
    <row r="412" spans="1:27" ht="14.25" customHeight="1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</row>
    <row r="413" spans="1:27" ht="14.25" customHeight="1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</row>
    <row r="414" spans="1:27" ht="14.25" customHeight="1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</row>
    <row r="415" spans="1:27" ht="14.25" customHeight="1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</row>
    <row r="416" spans="1:27" ht="14.25" customHeight="1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</row>
    <row r="417" spans="1:27" ht="14.25" customHeight="1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</row>
    <row r="418" spans="1:27" ht="14.25" customHeight="1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</row>
    <row r="419" spans="1:27" ht="14.25" customHeight="1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</row>
    <row r="420" spans="1:27" ht="14.25" customHeight="1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</row>
    <row r="421" spans="1:27" ht="14.25" customHeight="1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</row>
    <row r="422" spans="1:27" ht="14.25" customHeight="1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</row>
    <row r="423" spans="1:27" ht="14.25" customHeight="1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</row>
    <row r="424" spans="1:27" ht="14.25" customHeight="1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</row>
    <row r="425" spans="1:27" ht="14.25" customHeight="1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</row>
    <row r="426" spans="1:27" ht="14.25" customHeight="1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</row>
    <row r="427" spans="1:27" ht="14.25" customHeight="1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</row>
    <row r="428" spans="1:27" ht="14.25" customHeight="1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</row>
    <row r="429" spans="1:27" ht="14.25" customHeight="1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</row>
    <row r="430" spans="1:27" ht="14.25" customHeight="1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</row>
    <row r="431" spans="1:27" ht="14.25" customHeight="1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</row>
    <row r="432" spans="1:27" ht="14.25" customHeight="1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</row>
    <row r="433" spans="1:27" ht="14.25" customHeight="1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</row>
    <row r="434" spans="1:27" ht="14.25" customHeight="1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</row>
    <row r="435" spans="1:27" ht="14.25" customHeight="1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</row>
    <row r="436" spans="1:27" ht="14.25" customHeight="1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</row>
    <row r="437" spans="1:27" ht="14.25" customHeight="1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</row>
    <row r="438" spans="1:27" ht="14.25" customHeight="1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</row>
    <row r="439" spans="1:27" ht="14.25" customHeight="1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</row>
    <row r="440" spans="1:27" ht="14.25" customHeight="1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</row>
    <row r="441" spans="1:27" ht="14.25" customHeight="1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</row>
    <row r="442" spans="1:27" ht="14.25" customHeight="1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</row>
    <row r="443" spans="1:27" ht="14.25" customHeight="1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</row>
    <row r="444" spans="1:27" ht="14.25" customHeight="1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</row>
    <row r="445" spans="1:27" ht="14.25" customHeight="1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</row>
    <row r="446" spans="1:27" ht="14.25" customHeight="1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</row>
    <row r="447" spans="1:27" ht="14.25" customHeight="1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</row>
    <row r="448" spans="1:27" ht="14.25" customHeight="1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</row>
    <row r="449" spans="1:27" ht="14.25" customHeight="1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</row>
    <row r="450" spans="1:27" ht="14.25" customHeight="1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</row>
    <row r="451" spans="1:27" ht="14.25" customHeight="1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</row>
    <row r="452" spans="1:27" ht="14.25" customHeight="1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</row>
    <row r="453" spans="1:27" ht="14.25" customHeight="1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</row>
    <row r="454" spans="1:27" ht="14.25" customHeight="1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</row>
    <row r="455" spans="1:27" ht="14.25" customHeight="1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</row>
    <row r="456" spans="1:27" ht="14.25" customHeight="1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</row>
    <row r="457" spans="1:27" ht="14.25" customHeight="1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</row>
    <row r="458" spans="1:27" ht="14.25" customHeight="1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</row>
    <row r="459" spans="1:27" ht="14.25" customHeight="1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</row>
    <row r="460" spans="1:27" ht="14.25" customHeight="1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</row>
    <row r="461" spans="1:27" ht="14.25" customHeight="1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</row>
    <row r="462" spans="1:27" ht="14.25" customHeight="1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</row>
    <row r="463" spans="1:27" ht="14.25" customHeight="1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</row>
    <row r="464" spans="1:27" ht="14.25" customHeight="1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</row>
    <row r="465" spans="1:27" ht="14.25" customHeight="1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</row>
    <row r="466" spans="1:27" ht="14.25" customHeight="1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</row>
    <row r="467" spans="1:27" ht="14.25" customHeight="1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</row>
    <row r="468" spans="1:27" ht="14.25" customHeight="1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</row>
    <row r="469" spans="1:27" ht="14.25" customHeight="1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</row>
    <row r="470" spans="1:27" ht="14.25" customHeight="1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</row>
    <row r="471" spans="1:27" ht="14.25" customHeight="1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</row>
    <row r="472" spans="1:27" ht="14.25" customHeight="1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</row>
    <row r="473" spans="1:27" ht="14.25" customHeight="1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</row>
    <row r="474" spans="1:27" ht="14.25" customHeight="1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</row>
    <row r="475" spans="1:27" ht="14.25" customHeight="1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</row>
    <row r="476" spans="1:27" ht="14.25" customHeight="1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</row>
    <row r="477" spans="1:27" ht="14.25" customHeight="1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</row>
    <row r="478" spans="1:27" ht="14.25" customHeight="1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</row>
    <row r="479" spans="1:27" ht="14.25" customHeight="1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</row>
    <row r="480" spans="1:27" ht="14.25" customHeight="1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</row>
    <row r="481" spans="1:27" ht="14.25" customHeight="1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</row>
    <row r="482" spans="1:27" ht="14.25" customHeight="1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</row>
    <row r="483" spans="1:27" ht="14.25" customHeight="1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</row>
    <row r="484" spans="1:27" ht="14.25" customHeight="1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</row>
    <row r="485" spans="1:27" ht="14.25" customHeight="1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</row>
    <row r="486" spans="1:27" ht="14.25" customHeight="1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</row>
    <row r="487" spans="1:27" ht="14.25" customHeight="1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</row>
    <row r="488" spans="1:27" ht="14.25" customHeight="1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</row>
    <row r="489" spans="1:27" ht="14.25" customHeight="1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</row>
    <row r="490" spans="1:27" ht="14.25" customHeight="1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</row>
    <row r="491" spans="1:27" ht="14.25" customHeight="1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</row>
    <row r="492" spans="1:27" ht="14.25" customHeight="1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</row>
    <row r="493" spans="1:27" ht="14.25" customHeight="1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</row>
    <row r="494" spans="1:27" ht="14.25" customHeight="1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</row>
    <row r="495" spans="1:27" ht="14.25" customHeight="1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</row>
    <row r="496" spans="1:27" ht="14.25" customHeight="1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</row>
    <row r="497" spans="1:27" ht="14.25" customHeight="1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</row>
    <row r="498" spans="1:27" ht="14.25" customHeight="1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</row>
    <row r="499" spans="1:27" ht="14.25" customHeight="1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</row>
    <row r="500" spans="1:27" ht="14.25" customHeight="1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</row>
    <row r="501" spans="1:27" ht="14.25" customHeight="1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</row>
    <row r="502" spans="1:27" ht="14.25" customHeight="1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</row>
    <row r="503" spans="1:27" ht="14.25" customHeight="1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</row>
    <row r="504" spans="1:27" ht="14.25" customHeight="1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</row>
    <row r="505" spans="1:27" ht="14.25" customHeight="1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</row>
    <row r="506" spans="1:27" ht="14.25" customHeight="1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</row>
    <row r="507" spans="1:27" ht="14.25" customHeight="1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</row>
    <row r="508" spans="1:27" ht="14.25" customHeight="1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</row>
    <row r="509" spans="1:27" ht="14.25" customHeight="1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</row>
    <row r="510" spans="1:27" ht="14.25" customHeight="1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</row>
    <row r="511" spans="1:27" ht="14.25" customHeight="1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</row>
    <row r="512" spans="1:27" ht="14.25" customHeight="1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</row>
    <row r="513" spans="1:27" ht="14.25" customHeight="1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</row>
    <row r="514" spans="1:27" ht="14.25" customHeight="1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</row>
    <row r="515" spans="1:27" ht="14.25" customHeight="1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</row>
    <row r="516" spans="1:27" ht="14.25" customHeight="1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</row>
    <row r="517" spans="1:27" ht="14.25" customHeight="1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</row>
    <row r="518" spans="1:27" ht="14.25" customHeight="1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</row>
    <row r="519" spans="1:27" ht="14.25" customHeight="1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</row>
    <row r="520" spans="1:27" ht="14.25" customHeight="1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</row>
    <row r="521" spans="1:27" ht="14.25" customHeight="1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</row>
    <row r="522" spans="1:27" ht="14.25" customHeight="1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</row>
    <row r="523" spans="1:27" ht="14.25" customHeight="1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</row>
    <row r="524" spans="1:27" ht="14.25" customHeight="1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</row>
    <row r="525" spans="1:27" ht="14.25" customHeight="1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</row>
    <row r="526" spans="1:27" ht="14.25" customHeight="1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</row>
    <row r="527" spans="1:27" ht="14.25" customHeight="1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</row>
    <row r="528" spans="1:27" ht="14.25" customHeight="1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</row>
    <row r="529" spans="1:27" ht="14.25" customHeight="1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</row>
    <row r="530" spans="1:27" ht="14.25" customHeight="1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</row>
    <row r="531" spans="1:27" ht="14.25" customHeight="1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</row>
    <row r="532" spans="1:27" ht="14.25" customHeight="1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</row>
    <row r="533" spans="1:27" ht="14.25" customHeight="1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</row>
    <row r="534" spans="1:27" ht="14.25" customHeight="1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</row>
    <row r="535" spans="1:27" ht="14.25" customHeight="1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</row>
    <row r="536" spans="1:27" ht="14.25" customHeight="1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</row>
    <row r="537" spans="1:27" ht="14.25" customHeight="1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</row>
    <row r="538" spans="1:27" ht="14.25" customHeight="1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</row>
    <row r="539" spans="1:27" ht="14.25" customHeight="1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</row>
    <row r="540" spans="1:27" ht="14.25" customHeight="1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</row>
    <row r="541" spans="1:27" ht="14.25" customHeight="1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</row>
    <row r="542" spans="1:27" ht="14.25" customHeight="1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</row>
    <row r="543" spans="1:27" ht="14.25" customHeight="1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</row>
    <row r="544" spans="1:27" ht="14.25" customHeight="1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</row>
    <row r="545" spans="1:27" ht="14.25" customHeight="1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</row>
    <row r="546" spans="1:27" ht="14.25" customHeight="1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</row>
    <row r="547" spans="1:27" ht="14.25" customHeight="1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</row>
    <row r="548" spans="1:27" ht="14.25" customHeight="1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</row>
    <row r="549" spans="1:27" ht="14.25" customHeight="1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</row>
    <row r="550" spans="1:27" ht="14.25" customHeight="1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</row>
    <row r="551" spans="1:27" ht="14.25" customHeight="1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</row>
    <row r="552" spans="1:27" ht="14.25" customHeight="1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</row>
    <row r="553" spans="1:27" ht="14.25" customHeight="1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</row>
    <row r="554" spans="1:27" ht="14.25" customHeight="1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</row>
    <row r="555" spans="1:27" ht="14.25" customHeight="1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</row>
    <row r="556" spans="1:27" ht="14.25" customHeight="1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</row>
    <row r="557" spans="1:27" ht="14.25" customHeight="1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</row>
    <row r="558" spans="1:27" ht="14.25" customHeight="1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</row>
    <row r="559" spans="1:27" ht="14.25" customHeight="1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</row>
    <row r="560" spans="1:27" ht="14.25" customHeight="1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</row>
    <row r="561" spans="1:27" ht="14.25" customHeight="1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</row>
    <row r="562" spans="1:27" ht="14.25" customHeight="1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</row>
    <row r="563" spans="1:27" ht="14.25" customHeight="1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</row>
    <row r="564" spans="1:27" ht="14.25" customHeight="1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</row>
    <row r="565" spans="1:27" ht="14.25" customHeight="1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</row>
    <row r="566" spans="1:27" ht="14.25" customHeight="1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</row>
    <row r="567" spans="1:27" ht="14.25" customHeight="1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</row>
    <row r="568" spans="1:27" ht="14.25" customHeight="1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</row>
    <row r="569" spans="1:27" ht="14.25" customHeight="1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</row>
    <row r="570" spans="1:27" ht="14.25" customHeight="1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</row>
    <row r="571" spans="1:27" ht="14.25" customHeight="1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</row>
    <row r="572" spans="1:27" ht="14.25" customHeight="1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</row>
    <row r="573" spans="1:27" ht="14.25" customHeight="1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</row>
    <row r="574" spans="1:27" ht="14.25" customHeight="1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</row>
    <row r="575" spans="1:27" ht="14.25" customHeight="1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</row>
    <row r="576" spans="1:27" ht="14.25" customHeight="1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</row>
    <row r="577" spans="1:27" ht="14.25" customHeight="1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</row>
    <row r="578" spans="1:27" ht="14.25" customHeight="1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</row>
    <row r="579" spans="1:27" ht="14.25" customHeight="1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</row>
    <row r="580" spans="1:27" ht="14.25" customHeight="1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</row>
    <row r="581" spans="1:27" ht="14.25" customHeight="1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</row>
    <row r="582" spans="1:27" ht="14.25" customHeight="1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</row>
    <row r="583" spans="1:27" ht="14.25" customHeight="1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</row>
    <row r="584" spans="1:27" ht="14.25" customHeight="1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</row>
    <row r="585" spans="1:27" ht="14.25" customHeight="1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</row>
    <row r="586" spans="1:27" ht="14.25" customHeight="1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</row>
    <row r="587" spans="1:27" ht="14.25" customHeight="1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</row>
    <row r="588" spans="1:27" ht="14.25" customHeight="1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</row>
    <row r="589" spans="1:27" ht="14.25" customHeight="1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</row>
    <row r="590" spans="1:27" ht="14.25" customHeight="1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</row>
    <row r="591" spans="1:27" ht="14.25" customHeight="1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</row>
    <row r="592" spans="1:27" ht="14.25" customHeight="1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</row>
    <row r="593" spans="1:27" ht="14.25" customHeight="1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</row>
    <row r="594" spans="1:27" ht="14.25" customHeight="1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</row>
    <row r="595" spans="1:27" ht="14.25" customHeight="1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</row>
    <row r="596" spans="1:27" ht="14.25" customHeight="1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</row>
    <row r="597" spans="1:27" ht="14.25" customHeight="1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</row>
    <row r="598" spans="1:27" ht="14.25" customHeight="1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</row>
    <row r="599" spans="1:27" ht="14.25" customHeight="1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</row>
    <row r="600" spans="1:27" ht="14.25" customHeight="1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</row>
    <row r="601" spans="1:27" ht="14.25" customHeight="1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</row>
    <row r="602" spans="1:27" ht="14.25" customHeight="1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</row>
    <row r="603" spans="1:27" ht="14.25" customHeight="1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</row>
    <row r="604" spans="1:27" ht="14.25" customHeight="1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</row>
    <row r="605" spans="1:27" ht="14.25" customHeight="1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</row>
    <row r="606" spans="1:27" ht="14.25" customHeight="1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</row>
    <row r="607" spans="1:27" ht="14.25" customHeight="1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</row>
    <row r="608" spans="1:27" ht="14.25" customHeight="1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</row>
    <row r="609" spans="1:27" ht="14.25" customHeight="1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</row>
    <row r="610" spans="1:27" ht="14.25" customHeight="1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</row>
    <row r="611" spans="1:27" ht="14.25" customHeight="1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</row>
    <row r="612" spans="1:27" ht="14.25" customHeight="1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</row>
    <row r="613" spans="1:27" ht="14.25" customHeight="1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</row>
    <row r="614" spans="1:27" ht="14.25" customHeight="1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</row>
    <row r="615" spans="1:27" ht="14.25" customHeight="1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</row>
    <row r="616" spans="1:27" ht="14.25" customHeight="1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</row>
    <row r="617" spans="1:27" ht="14.25" customHeight="1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</row>
    <row r="618" spans="1:27" ht="14.25" customHeight="1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</row>
    <row r="619" spans="1:27" ht="14.25" customHeight="1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</row>
    <row r="620" spans="1:27" ht="14.25" customHeight="1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</row>
    <row r="621" spans="1:27" ht="14.25" customHeight="1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</row>
    <row r="622" spans="1:27" ht="14.25" customHeight="1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</row>
    <row r="623" spans="1:27" ht="14.25" customHeight="1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</row>
    <row r="624" spans="1:27" ht="14.25" customHeight="1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</row>
    <row r="625" spans="1:27" ht="14.25" customHeight="1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</row>
    <row r="626" spans="1:27" ht="14.25" customHeight="1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</row>
    <row r="627" spans="1:27" ht="14.25" customHeight="1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</row>
    <row r="628" spans="1:27" ht="14.25" customHeight="1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</row>
    <row r="629" spans="1:27" ht="14.25" customHeight="1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</row>
    <row r="630" spans="1:27" ht="14.25" customHeight="1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</row>
    <row r="631" spans="1:27" ht="14.25" customHeight="1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</row>
    <row r="632" spans="1:27" ht="14.25" customHeight="1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</row>
    <row r="633" spans="1:27" ht="14.25" customHeight="1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</row>
    <row r="634" spans="1:27" ht="14.25" customHeight="1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</row>
    <row r="635" spans="1:27" ht="14.25" customHeight="1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</row>
    <row r="636" spans="1:27" ht="14.25" customHeight="1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</row>
    <row r="637" spans="1:27" ht="14.25" customHeight="1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</row>
    <row r="638" spans="1:27" ht="14.25" customHeight="1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</row>
    <row r="639" spans="1:27" ht="14.25" customHeight="1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</row>
    <row r="640" spans="1:27" ht="14.25" customHeight="1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</row>
    <row r="641" spans="1:27" ht="14.25" customHeight="1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</row>
    <row r="642" spans="1:27" ht="14.25" customHeight="1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</row>
    <row r="643" spans="1:27" ht="14.25" customHeight="1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</row>
    <row r="644" spans="1:27" ht="14.25" customHeight="1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</row>
    <row r="645" spans="1:27" ht="14.25" customHeight="1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</row>
    <row r="646" spans="1:27" ht="14.25" customHeight="1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</row>
    <row r="647" spans="1:27" ht="14.25" customHeight="1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</row>
    <row r="648" spans="1:27" ht="14.25" customHeight="1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</row>
    <row r="649" spans="1:27" ht="14.25" customHeight="1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</row>
    <row r="650" spans="1:27" ht="14.25" customHeight="1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</row>
    <row r="651" spans="1:27" ht="14.25" customHeight="1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</row>
    <row r="652" spans="1:27" ht="14.25" customHeight="1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</row>
    <row r="653" spans="1:27" ht="14.25" customHeight="1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</row>
    <row r="654" spans="1:27" ht="14.25" customHeight="1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</row>
    <row r="655" spans="1:27" ht="14.25" customHeight="1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</row>
    <row r="656" spans="1:27" ht="14.25" customHeight="1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</row>
    <row r="657" spans="1:27" ht="14.25" customHeight="1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</row>
    <row r="658" spans="1:27" ht="14.25" customHeight="1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</row>
    <row r="659" spans="1:27" ht="14.25" customHeight="1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</row>
    <row r="660" spans="1:27" ht="14.25" customHeight="1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</row>
    <row r="661" spans="1:27" ht="14.25" customHeight="1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</row>
    <row r="662" spans="1:27" ht="14.25" customHeight="1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</row>
    <row r="663" spans="1:27" ht="14.25" customHeight="1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</row>
    <row r="664" spans="1:27" ht="14.25" customHeight="1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</row>
    <row r="665" spans="1:27" ht="14.25" customHeight="1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</row>
    <row r="666" spans="1:27" ht="14.25" customHeight="1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</row>
    <row r="667" spans="1:27" ht="14.25" customHeight="1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</row>
    <row r="668" spans="1:27" ht="14.25" customHeight="1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</row>
    <row r="669" spans="1:27" ht="14.25" customHeight="1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</row>
    <row r="670" spans="1:27" ht="14.25" customHeight="1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</row>
    <row r="671" spans="1:27" ht="14.25" customHeight="1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</row>
    <row r="672" spans="1:27" ht="14.25" customHeight="1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</row>
    <row r="673" spans="1:27" ht="14.25" customHeight="1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</row>
    <row r="674" spans="1:27" ht="14.25" customHeight="1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</row>
    <row r="675" spans="1:27" ht="14.25" customHeight="1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</row>
    <row r="676" spans="1:27" ht="14.25" customHeight="1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</row>
    <row r="677" spans="1:27" ht="14.25" customHeight="1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</row>
    <row r="678" spans="1:27" ht="14.25" customHeight="1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</row>
    <row r="679" spans="1:27" ht="14.25" customHeight="1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</row>
    <row r="680" spans="1:27" ht="14.25" customHeight="1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</row>
    <row r="681" spans="1:27" ht="14.25" customHeight="1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</row>
    <row r="682" spans="1:27" ht="14.25" customHeight="1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</row>
    <row r="683" spans="1:27" ht="14.25" customHeight="1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</row>
    <row r="684" spans="1:27" ht="14.25" customHeight="1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</row>
    <row r="685" spans="1:27" ht="14.25" customHeight="1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</row>
    <row r="686" spans="1:27" ht="14.25" customHeight="1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</row>
    <row r="687" spans="1:27" ht="14.25" customHeight="1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</row>
    <row r="688" spans="1:27" ht="14.25" customHeight="1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</row>
    <row r="689" spans="1:27" ht="14.25" customHeight="1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</row>
    <row r="690" spans="1:27" ht="14.25" customHeight="1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</row>
    <row r="691" spans="1:27" ht="14.25" customHeight="1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</row>
    <row r="692" spans="1:27" ht="14.25" customHeight="1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</row>
    <row r="693" spans="1:27" ht="14.25" customHeight="1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</row>
    <row r="694" spans="1:27" ht="14.25" customHeight="1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</row>
    <row r="695" spans="1:27" ht="14.25" customHeight="1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</row>
    <row r="696" spans="1:27" ht="14.25" customHeight="1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</row>
    <row r="697" spans="1:27" ht="14.25" customHeight="1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</row>
    <row r="698" spans="1:27" ht="14.25" customHeight="1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</row>
    <row r="699" spans="1:27" ht="14.25" customHeight="1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</row>
    <row r="700" spans="1:27" ht="14.25" customHeight="1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</row>
    <row r="701" spans="1:27" ht="14.25" customHeight="1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</row>
    <row r="702" spans="1:27" ht="14.25" customHeight="1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</row>
    <row r="703" spans="1:27" ht="14.25" customHeight="1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</row>
    <row r="704" spans="1:27" ht="14.25" customHeight="1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</row>
    <row r="705" spans="1:27" ht="14.25" customHeight="1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</row>
    <row r="706" spans="1:27" ht="14.25" customHeight="1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</row>
    <row r="707" spans="1:27" ht="14.25" customHeight="1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</row>
    <row r="708" spans="1:27" ht="14.25" customHeight="1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</row>
    <row r="709" spans="1:27" ht="14.25" customHeight="1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</row>
    <row r="710" spans="1:27" ht="14.25" customHeight="1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</row>
    <row r="711" spans="1:27" ht="14.25" customHeight="1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</row>
    <row r="712" spans="1:27" ht="14.25" customHeight="1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</row>
    <row r="713" spans="1:27" ht="14.25" customHeight="1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</row>
    <row r="714" spans="1:27" ht="14.25" customHeight="1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</row>
    <row r="715" spans="1:27" ht="14.25" customHeight="1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</row>
    <row r="716" spans="1:27" ht="14.25" customHeight="1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</row>
    <row r="717" spans="1:27" ht="14.25" customHeight="1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</row>
    <row r="718" spans="1:27" ht="14.25" customHeight="1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</row>
    <row r="719" spans="1:27" ht="14.25" customHeight="1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</row>
    <row r="720" spans="1:27" ht="14.25" customHeight="1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</row>
    <row r="721" spans="1:27" ht="14.25" customHeight="1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</row>
    <row r="722" spans="1:27" ht="14.25" customHeight="1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</row>
    <row r="723" spans="1:27" ht="14.25" customHeight="1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</row>
    <row r="724" spans="1:27" ht="14.25" customHeight="1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</row>
    <row r="725" spans="1:27" ht="14.25" customHeight="1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</row>
    <row r="726" spans="1:27" ht="14.25" customHeight="1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</row>
    <row r="727" spans="1:27" ht="14.25" customHeight="1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</row>
    <row r="728" spans="1:27" ht="14.25" customHeight="1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</row>
    <row r="729" spans="1:27" ht="14.25" customHeight="1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</row>
    <row r="730" spans="1:27" ht="14.25" customHeight="1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</row>
    <row r="731" spans="1:27" ht="14.25" customHeight="1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</row>
    <row r="732" spans="1:27" ht="14.25" customHeight="1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</row>
    <row r="733" spans="1:27" ht="14.25" customHeight="1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</row>
    <row r="734" spans="1:27" ht="14.25" customHeight="1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</row>
    <row r="735" spans="1:27" ht="14.25" customHeight="1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</row>
    <row r="736" spans="1:27" ht="14.25" customHeight="1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</row>
    <row r="737" spans="1:27" ht="14.25" customHeight="1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</row>
    <row r="738" spans="1:27" ht="14.25" customHeight="1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</row>
    <row r="739" spans="1:27" ht="14.25" customHeight="1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</row>
    <row r="740" spans="1:27" ht="14.25" customHeight="1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</row>
    <row r="741" spans="1:27" ht="14.25" customHeight="1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</row>
    <row r="742" spans="1:27" ht="14.25" customHeight="1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</row>
    <row r="743" spans="1:27" ht="14.25" customHeight="1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</row>
    <row r="744" spans="1:27" ht="14.25" customHeight="1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</row>
    <row r="745" spans="1:27" ht="14.25" customHeight="1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</row>
    <row r="746" spans="1:27" ht="14.25" customHeight="1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</row>
    <row r="747" spans="1:27" ht="14.25" customHeight="1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</row>
    <row r="748" spans="1:27" ht="14.25" customHeight="1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</row>
    <row r="749" spans="1:27" ht="14.25" customHeight="1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</row>
    <row r="750" spans="1:27" ht="14.25" customHeight="1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</row>
    <row r="751" spans="1:27" ht="14.25" customHeight="1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</row>
    <row r="752" spans="1:27" ht="14.25" customHeight="1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</row>
    <row r="753" spans="1:27" ht="14.25" customHeight="1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</row>
    <row r="754" spans="1:27" ht="14.25" customHeight="1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</row>
    <row r="755" spans="1:27" ht="14.25" customHeight="1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</row>
    <row r="756" spans="1:27" ht="14.25" customHeight="1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</row>
    <row r="757" spans="1:27" ht="14.25" customHeight="1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</row>
    <row r="758" spans="1:27" ht="14.25" customHeight="1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</row>
    <row r="759" spans="1:27" ht="14.25" customHeight="1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</row>
    <row r="760" spans="1:27" ht="14.25" customHeight="1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</row>
    <row r="761" spans="1:27" ht="14.25" customHeight="1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</row>
    <row r="762" spans="1:27" ht="14.25" customHeight="1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</row>
    <row r="763" spans="1:27" ht="14.25" customHeight="1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</row>
    <row r="764" spans="1:27" ht="14.25" customHeight="1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</row>
    <row r="765" spans="1:27" ht="14.25" customHeight="1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</row>
    <row r="766" spans="1:27" ht="14.25" customHeight="1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</row>
    <row r="767" spans="1:27" ht="14.25" customHeight="1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</row>
    <row r="768" spans="1:27" ht="14.25" customHeight="1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</row>
    <row r="769" spans="1:27" ht="14.25" customHeight="1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</row>
    <row r="770" spans="1:27" ht="14.25" customHeight="1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</row>
    <row r="771" spans="1:27" ht="14.25" customHeight="1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</row>
    <row r="772" spans="1:27" ht="14.25" customHeight="1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</row>
    <row r="773" spans="1:27" ht="14.25" customHeight="1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</row>
    <row r="774" spans="1:27" ht="14.25" customHeight="1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</row>
    <row r="775" spans="1:27" ht="14.25" customHeight="1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</row>
    <row r="776" spans="1:27" ht="14.25" customHeight="1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</row>
    <row r="777" spans="1:27" ht="14.25" customHeight="1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</row>
    <row r="778" spans="1:27" ht="14.25" customHeight="1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</row>
    <row r="779" spans="1:27" ht="14.25" customHeight="1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</row>
    <row r="780" spans="1:27" ht="14.25" customHeight="1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</row>
    <row r="781" spans="1:27" ht="14.25" customHeight="1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/>
    </row>
    <row r="782" spans="1:27" ht="14.25" customHeight="1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</row>
    <row r="783" spans="1:27" ht="14.25" customHeight="1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</row>
    <row r="784" spans="1:27" ht="14.25" customHeight="1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</row>
    <row r="785" spans="1:27" ht="14.25" customHeight="1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/>
    </row>
    <row r="786" spans="1:27" ht="14.25" customHeight="1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  <c r="AA786" s="5"/>
    </row>
    <row r="787" spans="1:27" ht="14.25" customHeight="1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  <c r="AA787" s="5"/>
    </row>
    <row r="788" spans="1:27" ht="14.25" customHeight="1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  <c r="AA788" s="5"/>
    </row>
    <row r="789" spans="1:27" ht="14.25" customHeight="1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  <c r="AA789" s="5"/>
    </row>
    <row r="790" spans="1:27" ht="14.25" customHeight="1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  <c r="AA790" s="5"/>
    </row>
    <row r="791" spans="1:27" ht="14.25" customHeight="1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  <c r="AA791" s="5"/>
    </row>
    <row r="792" spans="1:27" ht="14.25" customHeight="1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  <c r="AA792" s="5"/>
    </row>
    <row r="793" spans="1:27" ht="14.25" customHeight="1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  <c r="AA793" s="5"/>
    </row>
    <row r="794" spans="1:27" ht="14.25" customHeight="1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  <c r="AA794" s="5"/>
    </row>
    <row r="795" spans="1:27" ht="14.25" customHeight="1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  <c r="AA795" s="5"/>
    </row>
    <row r="796" spans="1:27" ht="14.25" customHeight="1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  <c r="AA796" s="5"/>
    </row>
    <row r="797" spans="1:27" ht="14.25" customHeight="1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  <c r="AA797" s="5"/>
    </row>
    <row r="798" spans="1:27" ht="14.25" customHeight="1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  <c r="AA798" s="5"/>
    </row>
    <row r="799" spans="1:27" ht="14.25" customHeight="1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  <c r="AA799" s="5"/>
    </row>
    <row r="800" spans="1:27" ht="14.25" customHeight="1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  <c r="AA800" s="5"/>
    </row>
    <row r="801" spans="1:27" ht="14.25" customHeight="1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  <c r="AA801" s="5"/>
    </row>
    <row r="802" spans="1:27" ht="14.25" customHeight="1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  <c r="AA802" s="5"/>
    </row>
    <row r="803" spans="1:27" ht="14.25" customHeight="1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  <c r="AA803" s="5"/>
    </row>
    <row r="804" spans="1:27" ht="14.25" customHeight="1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  <c r="AA804" s="5"/>
    </row>
    <row r="805" spans="1:27" ht="14.25" customHeight="1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  <c r="AA805" s="5"/>
    </row>
    <row r="806" spans="1:27" ht="14.25" customHeight="1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  <c r="AA806" s="5"/>
    </row>
    <row r="807" spans="1:27" ht="14.25" customHeight="1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  <c r="AA807" s="5"/>
    </row>
    <row r="808" spans="1:27" ht="14.25" customHeight="1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  <c r="AA808" s="5"/>
    </row>
    <row r="809" spans="1:27" ht="14.25" customHeight="1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  <c r="AA809" s="5"/>
    </row>
    <row r="810" spans="1:27" ht="14.25" customHeight="1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  <c r="AA810" s="5"/>
    </row>
    <row r="811" spans="1:27" ht="14.25" customHeight="1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  <c r="AA811" s="5"/>
    </row>
    <row r="812" spans="1:27" ht="14.25" customHeight="1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  <c r="AA812" s="5"/>
    </row>
    <row r="813" spans="1:27" ht="14.25" customHeight="1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  <c r="AA813" s="5"/>
    </row>
    <row r="814" spans="1:27" ht="14.25" customHeight="1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  <c r="AA814" s="5"/>
    </row>
    <row r="815" spans="1:27" ht="14.25" customHeight="1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  <c r="AA815" s="5"/>
    </row>
    <row r="816" spans="1:27" ht="14.25" customHeight="1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  <c r="AA816" s="5"/>
    </row>
    <row r="817" spans="1:27" ht="14.25" customHeight="1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  <c r="AA817" s="5"/>
    </row>
    <row r="818" spans="1:27" ht="14.25" customHeight="1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  <c r="AA818" s="5"/>
    </row>
    <row r="819" spans="1:27" ht="14.25" customHeight="1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  <c r="AA819" s="5"/>
    </row>
    <row r="820" spans="1:27" ht="14.25" customHeight="1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  <c r="AA820" s="5"/>
    </row>
    <row r="821" spans="1:27" ht="14.25" customHeight="1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  <c r="AA821" s="5"/>
    </row>
    <row r="822" spans="1:27" ht="14.25" customHeight="1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  <c r="AA822" s="5"/>
    </row>
    <row r="823" spans="1:27" ht="14.25" customHeight="1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  <c r="AA823" s="5"/>
    </row>
    <row r="824" spans="1:27" ht="14.25" customHeight="1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  <c r="AA824" s="5"/>
    </row>
    <row r="825" spans="1:27" ht="14.25" customHeight="1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  <c r="AA825" s="5"/>
    </row>
    <row r="826" spans="1:27" ht="14.25" customHeight="1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  <c r="AA826" s="5"/>
    </row>
    <row r="827" spans="1:27" ht="14.25" customHeight="1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  <c r="AA827" s="5"/>
    </row>
    <row r="828" spans="1:27" ht="14.25" customHeight="1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  <c r="AA828" s="5"/>
    </row>
    <row r="829" spans="1:27" ht="14.25" customHeight="1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  <c r="AA829" s="5"/>
    </row>
    <row r="830" spans="1:27" ht="14.25" customHeight="1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  <c r="AA830" s="5"/>
    </row>
    <row r="831" spans="1:27" ht="14.25" customHeight="1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  <c r="AA831" s="5"/>
    </row>
    <row r="832" spans="1:27" ht="14.25" customHeight="1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  <c r="AA832" s="5"/>
    </row>
    <row r="833" spans="1:27" ht="14.25" customHeight="1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  <c r="AA833" s="5"/>
    </row>
    <row r="834" spans="1:27" ht="14.25" customHeight="1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  <c r="AA834" s="5"/>
    </row>
    <row r="835" spans="1:27" ht="14.25" customHeight="1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  <c r="AA835" s="5"/>
    </row>
    <row r="836" spans="1:27" ht="14.25" customHeight="1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  <c r="AA836" s="5"/>
    </row>
    <row r="837" spans="1:27" ht="14.25" customHeight="1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  <c r="AA837" s="5"/>
    </row>
    <row r="838" spans="1:27" ht="14.25" customHeight="1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  <c r="AA838" s="5"/>
    </row>
    <row r="839" spans="1:27" ht="14.25" customHeight="1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  <c r="AA839" s="5"/>
    </row>
    <row r="840" spans="1:27" ht="14.25" customHeight="1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  <c r="AA840" s="5"/>
    </row>
    <row r="841" spans="1:27" ht="14.25" customHeight="1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  <c r="AA841" s="5"/>
    </row>
    <row r="842" spans="1:27" ht="14.25" customHeight="1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  <c r="AA842" s="5"/>
    </row>
    <row r="843" spans="1:27" ht="14.25" customHeight="1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  <c r="AA843" s="5"/>
    </row>
    <row r="844" spans="1:27" ht="14.25" customHeight="1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  <c r="AA844" s="5"/>
    </row>
    <row r="845" spans="1:27" ht="14.25" customHeight="1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  <c r="AA845" s="5"/>
    </row>
    <row r="846" spans="1:27" ht="14.25" customHeight="1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  <c r="AA846" s="5"/>
    </row>
    <row r="847" spans="1:27" ht="14.25" customHeight="1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  <c r="AA847" s="5"/>
    </row>
    <row r="848" spans="1:27" ht="14.25" customHeight="1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  <c r="AA848" s="5"/>
    </row>
    <row r="849" spans="1:27" ht="14.25" customHeight="1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  <c r="AA849" s="5"/>
    </row>
    <row r="850" spans="1:27" ht="14.25" customHeight="1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  <c r="AA850" s="5"/>
    </row>
    <row r="851" spans="1:27" ht="14.25" customHeight="1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  <c r="AA851" s="5"/>
    </row>
    <row r="852" spans="1:27" ht="14.25" customHeight="1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  <c r="AA852" s="5"/>
    </row>
    <row r="853" spans="1:27" ht="14.25" customHeight="1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  <c r="AA853" s="5"/>
    </row>
    <row r="854" spans="1:27" ht="14.25" customHeight="1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  <c r="AA854" s="5"/>
    </row>
    <row r="855" spans="1:27" ht="14.25" customHeight="1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  <c r="AA855" s="5"/>
    </row>
    <row r="856" spans="1:27" ht="14.25" customHeight="1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  <c r="AA856" s="5"/>
    </row>
    <row r="857" spans="1:27" ht="14.25" customHeight="1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  <c r="AA857" s="5"/>
    </row>
    <row r="858" spans="1:27" ht="14.25" customHeight="1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  <c r="AA858" s="5"/>
    </row>
    <row r="859" spans="1:27" ht="14.25" customHeight="1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  <c r="AA859" s="5"/>
    </row>
    <row r="860" spans="1:27" ht="14.25" customHeight="1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  <c r="AA860" s="5"/>
    </row>
    <row r="861" spans="1:27" ht="14.25" customHeight="1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  <c r="AA861" s="5"/>
    </row>
    <row r="862" spans="1:27" ht="14.25" customHeight="1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  <c r="AA862" s="5"/>
    </row>
    <row r="863" spans="1:27" ht="14.25" customHeight="1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  <c r="AA863" s="5"/>
    </row>
    <row r="864" spans="1:27" ht="14.25" customHeight="1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  <c r="AA864" s="5"/>
    </row>
    <row r="865" spans="1:27" ht="14.25" customHeight="1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  <c r="AA865" s="5"/>
    </row>
    <row r="866" spans="1:27" ht="14.25" customHeight="1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  <c r="AA866" s="5"/>
    </row>
    <row r="867" spans="1:27" ht="14.25" customHeight="1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  <c r="AA867" s="5"/>
    </row>
    <row r="868" spans="1:27" ht="14.25" customHeight="1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  <c r="AA868" s="5"/>
    </row>
    <row r="869" spans="1:27" ht="14.25" customHeight="1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  <c r="AA869" s="5"/>
    </row>
    <row r="870" spans="1:27" ht="14.25" customHeight="1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  <c r="AA870" s="5"/>
    </row>
    <row r="871" spans="1:27" ht="14.25" customHeight="1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  <c r="AA871" s="5"/>
    </row>
    <row r="872" spans="1:27" ht="14.25" customHeight="1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  <c r="AA872" s="5"/>
    </row>
    <row r="873" spans="1:27" ht="14.25" customHeight="1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  <c r="AA873" s="5"/>
    </row>
    <row r="874" spans="1:27" ht="14.25" customHeight="1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  <c r="AA874" s="5"/>
    </row>
    <row r="875" spans="1:27" ht="14.25" customHeight="1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  <c r="AA875" s="5"/>
    </row>
    <row r="876" spans="1:27" ht="14.25" customHeight="1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  <c r="AA876" s="5"/>
    </row>
    <row r="877" spans="1:27" ht="14.25" customHeight="1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  <c r="AA877" s="5"/>
    </row>
    <row r="878" spans="1:27" ht="14.25" customHeight="1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  <c r="AA878" s="5"/>
    </row>
    <row r="879" spans="1:27" ht="14.25" customHeight="1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  <c r="AA879" s="5"/>
    </row>
    <row r="880" spans="1:27" ht="14.25" customHeight="1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  <c r="AA880" s="5"/>
    </row>
    <row r="881" spans="1:27" ht="14.25" customHeight="1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  <c r="AA881" s="5"/>
    </row>
    <row r="882" spans="1:27" ht="14.25" customHeight="1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  <c r="AA882" s="5"/>
    </row>
    <row r="883" spans="1:27" ht="14.25" customHeight="1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  <c r="AA883" s="5"/>
    </row>
    <row r="884" spans="1:27" ht="14.25" customHeight="1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  <c r="AA884" s="5"/>
    </row>
    <row r="885" spans="1:27" ht="14.25" customHeight="1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  <c r="AA885" s="5"/>
    </row>
    <row r="886" spans="1:27" ht="14.25" customHeight="1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  <c r="AA886" s="5"/>
    </row>
    <row r="887" spans="1:27" ht="14.25" customHeight="1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  <c r="AA887" s="5"/>
    </row>
    <row r="888" spans="1:27" ht="14.25" customHeight="1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  <c r="AA888" s="5"/>
    </row>
    <row r="889" spans="1:27" ht="14.25" customHeight="1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  <c r="AA889" s="5"/>
    </row>
    <row r="890" spans="1:27" ht="14.25" customHeight="1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  <c r="AA890" s="5"/>
    </row>
    <row r="891" spans="1:27" ht="14.25" customHeight="1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  <c r="AA891" s="5"/>
    </row>
    <row r="892" spans="1:27" ht="14.25" customHeight="1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  <c r="AA892" s="5"/>
    </row>
    <row r="893" spans="1:27" ht="14.25" customHeight="1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  <c r="AA893" s="5"/>
    </row>
    <row r="894" spans="1:27" ht="14.25" customHeight="1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  <c r="AA894" s="5"/>
    </row>
    <row r="895" spans="1:27" ht="14.25" customHeight="1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  <c r="AA895" s="5"/>
    </row>
    <row r="896" spans="1:27" ht="14.25" customHeight="1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  <c r="AA896" s="5"/>
    </row>
    <row r="897" spans="1:27" ht="14.25" customHeight="1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  <c r="AA897" s="5"/>
    </row>
    <row r="898" spans="1:27" ht="14.25" customHeight="1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  <c r="AA898" s="5"/>
    </row>
    <row r="899" spans="1:27" ht="14.25" customHeight="1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  <c r="AA899" s="5"/>
    </row>
    <row r="900" spans="1:27" ht="14.25" customHeight="1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  <c r="AA900" s="5"/>
    </row>
    <row r="901" spans="1:27" ht="14.25" customHeight="1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  <c r="AA901" s="5"/>
    </row>
    <row r="902" spans="1:27" ht="14.25" customHeight="1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  <c r="AA902" s="5"/>
    </row>
    <row r="903" spans="1:27" ht="14.25" customHeight="1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  <c r="AA903" s="5"/>
    </row>
    <row r="904" spans="1:27" ht="14.25" customHeight="1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  <c r="AA904" s="5"/>
    </row>
    <row r="905" spans="1:27" ht="14.25" customHeight="1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  <c r="AA905" s="5"/>
    </row>
    <row r="906" spans="1:27" ht="14.25" customHeight="1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  <c r="AA906" s="5"/>
    </row>
    <row r="907" spans="1:27" ht="14.25" customHeight="1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  <c r="AA907" s="5"/>
    </row>
    <row r="908" spans="1:27" ht="14.25" customHeight="1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  <c r="AA908" s="5"/>
    </row>
    <row r="909" spans="1:27" ht="14.25" customHeight="1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  <c r="AA909" s="5"/>
    </row>
    <row r="910" spans="1:27" ht="14.25" customHeight="1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  <c r="AA910" s="5"/>
    </row>
    <row r="911" spans="1:27" ht="14.25" customHeight="1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  <c r="AA911" s="5"/>
    </row>
    <row r="912" spans="1:27" ht="14.25" customHeight="1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  <c r="AA912" s="5"/>
    </row>
    <row r="913" spans="1:27" ht="14.25" customHeight="1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  <c r="AA913" s="5"/>
    </row>
    <row r="914" spans="1:27" ht="14.25" customHeight="1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  <c r="AA914" s="5"/>
    </row>
    <row r="915" spans="1:27" ht="14.25" customHeight="1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  <c r="AA915" s="5"/>
    </row>
    <row r="916" spans="1:27" ht="14.25" customHeight="1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  <c r="AA916" s="5"/>
    </row>
    <row r="917" spans="1:27" ht="14.25" customHeight="1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  <c r="AA917" s="5"/>
    </row>
    <row r="918" spans="1:27" ht="14.25" customHeight="1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  <c r="AA918" s="5"/>
    </row>
    <row r="919" spans="1:27" ht="14.25" customHeight="1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  <c r="AA919" s="5"/>
    </row>
    <row r="920" spans="1:27" ht="14.25" customHeight="1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  <c r="AA920" s="5"/>
    </row>
    <row r="921" spans="1:27" ht="14.25" customHeight="1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  <c r="AA921" s="5"/>
    </row>
    <row r="922" spans="1:27" ht="14.25" customHeight="1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  <c r="AA922" s="5"/>
    </row>
    <row r="923" spans="1:27" ht="14.25" customHeight="1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  <c r="AA923" s="5"/>
    </row>
    <row r="924" spans="1:27" ht="14.25" customHeight="1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  <c r="AA924" s="5"/>
    </row>
    <row r="925" spans="1:27" ht="14.25" customHeight="1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  <c r="AA925" s="5"/>
    </row>
    <row r="926" spans="1:27" ht="14.25" customHeight="1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  <c r="AA926" s="5"/>
    </row>
    <row r="927" spans="1:27" ht="14.25" customHeight="1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  <c r="AA927" s="5"/>
    </row>
    <row r="928" spans="1:27" ht="14.25" customHeight="1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  <c r="AA928" s="5"/>
    </row>
    <row r="929" spans="1:27" ht="14.25" customHeight="1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  <c r="AA929" s="5"/>
    </row>
    <row r="930" spans="1:27" ht="14.25" customHeight="1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  <c r="AA930" s="5"/>
    </row>
    <row r="931" spans="1:27" ht="14.25" customHeight="1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  <c r="AA931" s="5"/>
    </row>
    <row r="932" spans="1:27" ht="14.25" customHeight="1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  <c r="AA932" s="5"/>
    </row>
    <row r="933" spans="1:27" ht="14.25" customHeight="1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  <c r="AA933" s="5"/>
    </row>
    <row r="934" spans="1:27" ht="14.25" customHeight="1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  <c r="AA934" s="5"/>
    </row>
    <row r="935" spans="1:27" ht="14.25" customHeight="1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  <c r="AA935" s="5"/>
    </row>
    <row r="936" spans="1:27" ht="14.25" customHeight="1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  <c r="AA936" s="5"/>
    </row>
    <row r="937" spans="1:27" ht="14.25" customHeight="1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  <c r="AA937" s="5"/>
    </row>
    <row r="938" spans="1:27" ht="14.25" customHeight="1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  <c r="AA938" s="5"/>
    </row>
    <row r="939" spans="1:27" ht="14.25" customHeight="1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  <c r="AA939" s="5"/>
    </row>
    <row r="940" spans="1:27" ht="14.25" customHeight="1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  <c r="AA940" s="5"/>
    </row>
    <row r="941" spans="1:27" ht="14.25" customHeight="1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  <c r="AA941" s="5"/>
    </row>
    <row r="942" spans="1:27" ht="14.25" customHeight="1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  <c r="AA942" s="5"/>
    </row>
    <row r="943" spans="1:27" ht="14.25" customHeight="1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  <c r="AA943" s="5"/>
    </row>
    <row r="944" spans="1:27" ht="14.25" customHeight="1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  <c r="AA944" s="5"/>
    </row>
    <row r="945" spans="1:27" ht="14.25" customHeight="1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  <c r="AA945" s="5"/>
    </row>
    <row r="946" spans="1:27" ht="14.25" customHeight="1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  <c r="AA946" s="5"/>
    </row>
    <row r="947" spans="1:27" ht="14.25" customHeight="1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  <c r="AA947" s="5"/>
    </row>
    <row r="948" spans="1:27" ht="14.25" customHeight="1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  <c r="AA948" s="5"/>
    </row>
    <row r="949" spans="1:27" ht="14.25" customHeight="1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  <c r="AA949" s="5"/>
    </row>
    <row r="950" spans="1:27" ht="14.25" customHeight="1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  <c r="AA950" s="5"/>
    </row>
    <row r="951" spans="1:27" ht="14.25" customHeight="1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  <c r="AA951" s="5"/>
    </row>
    <row r="952" spans="1:27" ht="14.25" customHeight="1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  <c r="AA952" s="5"/>
    </row>
    <row r="953" spans="1:27" ht="14.25" customHeight="1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  <c r="AA953" s="5"/>
    </row>
    <row r="954" spans="1:27" ht="14.25" customHeight="1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  <c r="AA954" s="5"/>
    </row>
    <row r="955" spans="1:27" ht="14.25" customHeight="1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  <c r="AA955" s="5"/>
    </row>
    <row r="956" spans="1:27" ht="14.25" customHeight="1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  <c r="AA956" s="5"/>
    </row>
    <row r="957" spans="1:27" ht="14.25" customHeight="1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  <c r="AA957" s="5"/>
    </row>
    <row r="958" spans="1:27" ht="14.25" customHeight="1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  <c r="AA958" s="5"/>
    </row>
    <row r="959" spans="1:27" ht="14.25" customHeight="1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  <c r="AA959" s="5"/>
    </row>
    <row r="960" spans="1:27" ht="14.25" customHeight="1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  <c r="AA960" s="5"/>
    </row>
    <row r="961" spans="1:27" ht="14.25" customHeight="1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  <c r="AA961" s="5"/>
    </row>
    <row r="962" spans="1:27" ht="14.25" customHeight="1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  <c r="AA962" s="5"/>
    </row>
    <row r="963" spans="1:27" ht="14.25" customHeight="1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  <c r="AA963" s="5"/>
    </row>
    <row r="964" spans="1:27" ht="14.25" customHeight="1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  <c r="AA964" s="5"/>
    </row>
    <row r="965" spans="1:27" ht="14.25" customHeight="1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  <c r="AA965" s="5"/>
    </row>
    <row r="966" spans="1:27" ht="14.25" customHeight="1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  <c r="AA966" s="5"/>
    </row>
    <row r="967" spans="1:27" ht="14.25" customHeight="1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  <c r="AA967" s="5"/>
    </row>
    <row r="968" spans="1:27" ht="14.25" customHeight="1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  <c r="AA968" s="5"/>
    </row>
    <row r="969" spans="1:27" ht="14.25" customHeight="1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  <c r="AA969" s="5"/>
    </row>
    <row r="970" spans="1:27" ht="14.25" customHeight="1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  <c r="AA970" s="5"/>
    </row>
    <row r="971" spans="1:27" ht="14.25" customHeight="1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  <c r="AA971" s="5"/>
    </row>
    <row r="972" spans="1:27" ht="14.25" customHeight="1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  <c r="AA972" s="5"/>
    </row>
    <row r="973" spans="1:27" ht="14.25" customHeight="1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  <c r="AA973" s="5"/>
    </row>
    <row r="974" spans="1:27" ht="14.25" customHeight="1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  <c r="AA974" s="5"/>
    </row>
    <row r="975" spans="1:27" ht="14.25" customHeight="1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  <c r="AA975" s="5"/>
    </row>
    <row r="976" spans="1:27" ht="14.25" customHeight="1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  <c r="AA976" s="5"/>
    </row>
    <row r="977" spans="1:27" ht="14.25" customHeight="1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  <c r="AA977" s="5"/>
    </row>
    <row r="978" spans="1:27" ht="14.25" customHeight="1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  <c r="AA978" s="5"/>
    </row>
    <row r="979" spans="1:27" ht="14.25" customHeight="1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  <c r="AA979" s="5"/>
    </row>
    <row r="980" spans="1:27" ht="14.25" customHeight="1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  <c r="AA980" s="5"/>
    </row>
    <row r="981" spans="1:27" ht="14.25" customHeight="1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  <c r="AA981" s="5"/>
    </row>
    <row r="982" spans="1:27" ht="14.25" customHeight="1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  <c r="AA982" s="5"/>
    </row>
    <row r="983" spans="1:27" ht="14.25" customHeight="1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  <c r="AA983" s="5"/>
    </row>
    <row r="984" spans="1:27" ht="14.25" customHeight="1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  <c r="AA984" s="5"/>
    </row>
    <row r="985" spans="1:27" ht="14.25" customHeight="1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  <c r="AA985" s="5"/>
    </row>
    <row r="986" spans="1:27" ht="14.25" customHeight="1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  <c r="AA986" s="5"/>
    </row>
    <row r="987" spans="1:27" ht="14.25" customHeight="1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  <c r="AA987" s="5"/>
    </row>
    <row r="988" spans="1:27" ht="14.25" customHeight="1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  <c r="AA988" s="5"/>
    </row>
    <row r="989" spans="1:27" ht="14.25" customHeight="1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  <c r="AA989" s="5"/>
    </row>
    <row r="990" spans="1:27" ht="14.25" customHeight="1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  <c r="AA990" s="5"/>
    </row>
    <row r="991" spans="1:27" ht="14.25" customHeight="1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  <c r="AA991" s="5"/>
    </row>
    <row r="992" spans="1:27" ht="14.25" customHeight="1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  <c r="AA992" s="5"/>
    </row>
    <row r="993" spans="1:27" ht="14.25" customHeight="1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  <c r="AA993" s="5"/>
    </row>
    <row r="994" spans="1:27" ht="14.25" customHeight="1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  <c r="AA994" s="5"/>
    </row>
    <row r="995" spans="1:27" ht="14.25" customHeight="1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  <c r="AA995" s="5"/>
    </row>
    <row r="996" spans="1:27" ht="14.25" customHeight="1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  <c r="AA996" s="5"/>
    </row>
    <row r="997" spans="1:27" ht="14.25" customHeight="1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  <c r="AA997" s="5"/>
    </row>
    <row r="998" spans="1:27" ht="14.25" customHeight="1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  <c r="AA998" s="5"/>
    </row>
    <row r="999" spans="1:27" ht="14.25" customHeight="1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  <c r="AA999" s="5"/>
    </row>
    <row r="1000" spans="1:27" ht="14.25" customHeight="1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  <c r="AA1000" s="5"/>
    </row>
    <row r="1001" spans="1:27" ht="14.25" customHeight="1">
      <c r="A1001" s="5"/>
      <c r="B1001" s="5"/>
      <c r="C1001" s="5"/>
      <c r="D1001" s="5"/>
      <c r="E1001" s="5"/>
      <c r="F1001" s="5"/>
      <c r="G1001" s="5"/>
      <c r="H1001" s="5"/>
      <c r="I1001" s="5"/>
      <c r="J1001" s="5"/>
      <c r="K1001" s="5"/>
      <c r="L1001" s="5"/>
      <c r="M1001" s="5"/>
      <c r="N1001" s="5"/>
      <c r="O1001" s="5"/>
      <c r="P1001" s="5"/>
      <c r="Q1001" s="5"/>
      <c r="R1001" s="5"/>
      <c r="S1001" s="5"/>
      <c r="T1001" s="5"/>
      <c r="U1001" s="5"/>
      <c r="V1001" s="5"/>
      <c r="W1001" s="5"/>
      <c r="X1001" s="5"/>
      <c r="Y1001" s="5"/>
      <c r="Z1001" s="5"/>
      <c r="AA1001" s="5"/>
    </row>
    <row r="1002" spans="1:27" ht="14.25" customHeight="1">
      <c r="A1002" s="5"/>
      <c r="B1002" s="5"/>
      <c r="C1002" s="5"/>
      <c r="D1002" s="5"/>
      <c r="E1002" s="5"/>
      <c r="F1002" s="5"/>
      <c r="G1002" s="5"/>
      <c r="H1002" s="5"/>
      <c r="I1002" s="5"/>
      <c r="J1002" s="5"/>
      <c r="K1002" s="5"/>
      <c r="L1002" s="5"/>
      <c r="M1002" s="5"/>
      <c r="N1002" s="5"/>
      <c r="O1002" s="5"/>
      <c r="P1002" s="5"/>
      <c r="Q1002" s="5"/>
      <c r="R1002" s="5"/>
      <c r="S1002" s="5"/>
      <c r="T1002" s="5"/>
      <c r="U1002" s="5"/>
      <c r="V1002" s="5"/>
      <c r="W1002" s="5"/>
      <c r="X1002" s="5"/>
      <c r="Y1002" s="5"/>
      <c r="Z1002" s="5"/>
      <c r="AA1002" s="5"/>
    </row>
    <row r="1003" spans="1:27" ht="14.25" customHeight="1">
      <c r="A1003" s="5"/>
      <c r="B1003" s="5"/>
      <c r="C1003" s="5"/>
      <c r="D1003" s="5"/>
      <c r="E1003" s="5"/>
      <c r="F1003" s="5"/>
      <c r="G1003" s="5"/>
      <c r="H1003" s="5"/>
      <c r="I1003" s="5"/>
      <c r="J1003" s="5"/>
      <c r="K1003" s="5"/>
      <c r="L1003" s="5"/>
      <c r="M1003" s="5"/>
      <c r="N1003" s="5"/>
      <c r="O1003" s="5"/>
      <c r="P1003" s="5"/>
      <c r="Q1003" s="5"/>
      <c r="R1003" s="5"/>
      <c r="S1003" s="5"/>
      <c r="T1003" s="5"/>
      <c r="U1003" s="5"/>
      <c r="V1003" s="5"/>
      <c r="W1003" s="5"/>
      <c r="X1003" s="5"/>
      <c r="Y1003" s="5"/>
      <c r="Z1003" s="5"/>
      <c r="AA1003" s="5"/>
    </row>
    <row r="1004" spans="1:27" ht="14.25" customHeight="1">
      <c r="A1004" s="5"/>
      <c r="B1004" s="5"/>
      <c r="C1004" s="5"/>
      <c r="D1004" s="5"/>
      <c r="E1004" s="5"/>
      <c r="F1004" s="5"/>
      <c r="G1004" s="5"/>
      <c r="H1004" s="5"/>
      <c r="I1004" s="5"/>
      <c r="J1004" s="5"/>
      <c r="K1004" s="5"/>
      <c r="L1004" s="5"/>
      <c r="M1004" s="5"/>
      <c r="N1004" s="5"/>
      <c r="O1004" s="5"/>
      <c r="P1004" s="5"/>
      <c r="Q1004" s="5"/>
      <c r="R1004" s="5"/>
      <c r="S1004" s="5"/>
      <c r="T1004" s="5"/>
      <c r="U1004" s="5"/>
      <c r="V1004" s="5"/>
      <c r="W1004" s="5"/>
      <c r="X1004" s="5"/>
      <c r="Y1004" s="5"/>
      <c r="Z1004" s="5"/>
      <c r="AA1004" s="5"/>
    </row>
    <row r="1005" spans="1:27" ht="14.25" customHeight="1">
      <c r="A1005" s="5"/>
      <c r="B1005" s="5"/>
      <c r="C1005" s="5"/>
      <c r="D1005" s="5"/>
      <c r="E1005" s="5"/>
      <c r="F1005" s="5"/>
      <c r="G1005" s="5"/>
      <c r="H1005" s="5"/>
      <c r="I1005" s="5"/>
      <c r="J1005" s="5"/>
      <c r="K1005" s="5"/>
      <c r="L1005" s="5"/>
      <c r="M1005" s="5"/>
      <c r="N1005" s="5"/>
      <c r="O1005" s="5"/>
      <c r="P1005" s="5"/>
      <c r="Q1005" s="5"/>
      <c r="R1005" s="5"/>
      <c r="S1005" s="5"/>
      <c r="T1005" s="5"/>
      <c r="U1005" s="5"/>
      <c r="V1005" s="5"/>
      <c r="W1005" s="5"/>
      <c r="X1005" s="5"/>
      <c r="Y1005" s="5"/>
      <c r="Z1005" s="5"/>
      <c r="AA1005" s="5"/>
    </row>
  </sheetData>
  <mergeCells count="31">
    <mergeCell ref="A1:F1"/>
    <mergeCell ref="A2:F2"/>
    <mergeCell ref="A3:F3"/>
    <mergeCell ref="A4:F4"/>
    <mergeCell ref="A6:F6"/>
    <mergeCell ref="A7:F7"/>
    <mergeCell ref="A10:X10"/>
    <mergeCell ref="K12:K13"/>
    <mergeCell ref="L12:M12"/>
    <mergeCell ref="N12:N13"/>
    <mergeCell ref="O12:O13"/>
    <mergeCell ref="P12:Q12"/>
    <mergeCell ref="R12:R13"/>
    <mergeCell ref="S12:X12"/>
    <mergeCell ref="A12:J12"/>
    <mergeCell ref="A13:B13"/>
    <mergeCell ref="C13:C14"/>
    <mergeCell ref="D13:D14"/>
    <mergeCell ref="E13:F13"/>
    <mergeCell ref="G13:G14"/>
    <mergeCell ref="H13:I13"/>
    <mergeCell ref="F95:I95"/>
    <mergeCell ref="Q94:R94"/>
    <mergeCell ref="T94:U94"/>
    <mergeCell ref="J13:J14"/>
    <mergeCell ref="A31:J31"/>
    <mergeCell ref="A77:J77"/>
    <mergeCell ref="A78:J78"/>
    <mergeCell ref="A81:M81"/>
    <mergeCell ref="A83:H85"/>
    <mergeCell ref="K94:N94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3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AA970"/>
  <sheetViews>
    <sheetView tabSelected="1" zoomScale="70" zoomScaleNormal="70" workbookViewId="0">
      <selection activeCell="M109" sqref="M109"/>
    </sheetView>
  </sheetViews>
  <sheetFormatPr defaultColWidth="12.625" defaultRowHeight="15" customHeight="1"/>
  <cols>
    <col min="1" max="1" width="9.125" customWidth="1"/>
    <col min="2" max="2" width="11" customWidth="1"/>
    <col min="3" max="3" width="9.125" customWidth="1"/>
    <col min="4" max="4" width="14" customWidth="1"/>
    <col min="5" max="5" width="9.125" customWidth="1"/>
    <col min="6" max="6" width="11.375" customWidth="1"/>
    <col min="7" max="7" width="14" customWidth="1"/>
    <col min="8" max="8" width="13" customWidth="1"/>
    <col min="9" max="10" width="9.125" customWidth="1"/>
    <col min="11" max="11" width="13.25" customWidth="1"/>
    <col min="12" max="12" width="10.375" customWidth="1"/>
    <col min="13" max="13" width="14" customWidth="1"/>
    <col min="14" max="14" width="13.625" customWidth="1"/>
    <col min="15" max="15" width="9.75" customWidth="1"/>
    <col min="16" max="16" width="9.125" customWidth="1"/>
    <col min="17" max="17" width="10.375" customWidth="1"/>
    <col min="18" max="18" width="12.75" customWidth="1"/>
    <col min="19" max="19" width="11.75" customWidth="1"/>
    <col min="20" max="20" width="12.375" customWidth="1"/>
    <col min="21" max="21" width="13.875" customWidth="1"/>
    <col min="22" max="22" width="9.125" customWidth="1"/>
    <col min="23" max="23" width="14.625" customWidth="1"/>
    <col min="24" max="24" width="9.125" customWidth="1"/>
    <col min="25" max="25" width="13.75" customWidth="1"/>
    <col min="26" max="26" width="16.375" customWidth="1"/>
    <col min="27" max="27" width="9.125" customWidth="1"/>
  </cols>
  <sheetData>
    <row r="1" spans="1:27" ht="14.25" customHeight="1">
      <c r="A1" s="157" t="s">
        <v>0</v>
      </c>
      <c r="B1" s="142"/>
      <c r="C1" s="142"/>
      <c r="D1" s="142"/>
      <c r="E1" s="142"/>
      <c r="F1" s="137"/>
      <c r="G1" s="1"/>
      <c r="H1" s="2"/>
      <c r="I1" s="2"/>
      <c r="J1" s="3"/>
      <c r="K1" s="1"/>
      <c r="L1" s="1"/>
      <c r="M1" s="1"/>
      <c r="N1" s="1"/>
      <c r="O1" s="1"/>
      <c r="P1" s="1"/>
      <c r="Q1" s="1"/>
      <c r="R1" s="1"/>
      <c r="S1" s="1"/>
      <c r="T1" s="1"/>
      <c r="U1" s="4"/>
      <c r="V1" s="5"/>
      <c r="W1" s="5"/>
      <c r="X1" s="5"/>
      <c r="Y1" s="5"/>
      <c r="Z1" s="5"/>
      <c r="AA1" s="5"/>
    </row>
    <row r="2" spans="1:27" ht="14.25" customHeight="1">
      <c r="A2" s="161" t="s">
        <v>1</v>
      </c>
      <c r="B2" s="147"/>
      <c r="C2" s="147"/>
      <c r="D2" s="147"/>
      <c r="E2" s="147"/>
      <c r="F2" s="148"/>
      <c r="G2" s="1"/>
      <c r="H2" s="2"/>
      <c r="I2" s="2"/>
      <c r="J2" s="3"/>
      <c r="K2" s="1"/>
      <c r="L2" s="1"/>
      <c r="M2" s="1"/>
      <c r="N2" s="1"/>
      <c r="O2" s="1"/>
      <c r="P2" s="1"/>
      <c r="Q2" s="1"/>
      <c r="R2" s="1"/>
      <c r="S2" s="1"/>
      <c r="T2" s="1"/>
      <c r="U2" s="4"/>
      <c r="V2" s="5"/>
      <c r="W2" s="5"/>
      <c r="X2" s="5"/>
      <c r="Y2" s="5"/>
      <c r="Z2" s="5"/>
      <c r="AA2" s="5"/>
    </row>
    <row r="3" spans="1:27" ht="14.25" customHeight="1">
      <c r="A3" s="161" t="s">
        <v>2</v>
      </c>
      <c r="B3" s="147"/>
      <c r="C3" s="147"/>
      <c r="D3" s="147"/>
      <c r="E3" s="147"/>
      <c r="F3" s="148"/>
      <c r="G3" s="1"/>
      <c r="H3" s="2"/>
      <c r="I3" s="2"/>
      <c r="J3" s="3"/>
      <c r="K3" s="1"/>
      <c r="L3" s="1"/>
      <c r="M3" s="1"/>
      <c r="N3" s="1"/>
      <c r="O3" s="1"/>
      <c r="P3" s="1"/>
      <c r="Q3" s="1"/>
      <c r="R3" s="1"/>
      <c r="S3" s="1"/>
      <c r="T3" s="1"/>
      <c r="U3" s="4"/>
      <c r="V3" s="5"/>
      <c r="W3" s="5"/>
      <c r="X3" s="5"/>
      <c r="Y3" s="5"/>
      <c r="Z3" s="5"/>
      <c r="AA3" s="5"/>
    </row>
    <row r="4" spans="1:27" ht="14.25" customHeight="1">
      <c r="A4" s="157" t="s">
        <v>145</v>
      </c>
      <c r="B4" s="142"/>
      <c r="C4" s="142"/>
      <c r="D4" s="142"/>
      <c r="E4" s="142"/>
      <c r="F4" s="137"/>
      <c r="G4" s="1"/>
      <c r="H4" s="2"/>
      <c r="I4" s="2"/>
      <c r="J4" s="3"/>
      <c r="K4" s="1"/>
      <c r="L4" s="1"/>
      <c r="M4" s="1"/>
      <c r="N4" s="1"/>
      <c r="O4" s="1"/>
      <c r="P4" s="1"/>
      <c r="Q4" s="1"/>
      <c r="R4" s="1"/>
      <c r="S4" s="1"/>
      <c r="T4" s="1"/>
      <c r="U4" s="4"/>
      <c r="V4" s="5"/>
      <c r="W4" s="5"/>
      <c r="X4" s="5"/>
      <c r="Y4" s="5"/>
      <c r="Z4" s="5"/>
      <c r="AA4" s="5"/>
    </row>
    <row r="5" spans="1:27" ht="14.25" customHeight="1">
      <c r="A5" s="8" t="s">
        <v>4</v>
      </c>
      <c r="B5" s="8"/>
      <c r="C5" s="8"/>
      <c r="D5" s="8"/>
      <c r="E5" s="8"/>
      <c r="F5" s="8"/>
      <c r="G5" s="9"/>
      <c r="H5" s="2"/>
      <c r="I5" s="2"/>
      <c r="J5" s="3"/>
      <c r="K5" s="1"/>
      <c r="L5" s="1"/>
      <c r="M5" s="1"/>
      <c r="N5" s="1"/>
      <c r="O5" s="1"/>
      <c r="P5" s="1"/>
      <c r="Q5" s="1"/>
      <c r="R5" s="1"/>
      <c r="S5" s="1"/>
      <c r="T5" s="1"/>
      <c r="U5" s="4"/>
      <c r="V5" s="5"/>
      <c r="W5" s="5"/>
      <c r="X5" s="5"/>
      <c r="Y5" s="5"/>
      <c r="Z5" s="5"/>
      <c r="AA5" s="5"/>
    </row>
    <row r="6" spans="1:27" ht="14.25" customHeight="1">
      <c r="A6" s="157" t="s">
        <v>188</v>
      </c>
      <c r="B6" s="142"/>
      <c r="C6" s="142"/>
      <c r="D6" s="142"/>
      <c r="E6" s="142"/>
      <c r="F6" s="137"/>
      <c r="G6" s="1"/>
      <c r="H6" s="2"/>
      <c r="I6" s="2"/>
      <c r="J6" s="3"/>
      <c r="K6" s="1"/>
      <c r="L6" s="1"/>
      <c r="M6" s="1"/>
      <c r="N6" s="1"/>
      <c r="O6" s="1"/>
      <c r="P6" s="1"/>
      <c r="Q6" s="1"/>
      <c r="R6" s="1"/>
      <c r="S6" s="1"/>
      <c r="T6" s="1"/>
      <c r="U6" s="4"/>
      <c r="V6" s="5"/>
      <c r="W6" s="5"/>
      <c r="X6" s="5"/>
      <c r="Y6" s="5"/>
      <c r="Z6" s="5"/>
      <c r="AA6" s="5"/>
    </row>
    <row r="7" spans="1:27" ht="14.25" customHeight="1">
      <c r="A7" s="157" t="s">
        <v>189</v>
      </c>
      <c r="B7" s="142"/>
      <c r="C7" s="142"/>
      <c r="D7" s="142"/>
      <c r="E7" s="142"/>
      <c r="F7" s="137"/>
      <c r="G7" s="1"/>
      <c r="H7" s="2"/>
      <c r="I7" s="2"/>
      <c r="J7" s="3"/>
      <c r="K7" s="1"/>
      <c r="L7" s="1"/>
      <c r="M7" s="1"/>
      <c r="N7" s="1"/>
      <c r="O7" s="1"/>
      <c r="P7" s="1"/>
      <c r="Q7" s="1"/>
      <c r="R7" s="1"/>
      <c r="S7" s="1"/>
      <c r="T7" s="1"/>
      <c r="U7" s="4"/>
      <c r="V7" s="5"/>
      <c r="W7" s="5"/>
      <c r="X7" s="5"/>
      <c r="Y7" s="5"/>
      <c r="Z7" s="5"/>
      <c r="AA7" s="5"/>
    </row>
    <row r="8" spans="1:27" ht="14.25" customHeight="1">
      <c r="A8" s="162"/>
      <c r="B8" s="135"/>
      <c r="C8" s="135"/>
      <c r="D8" s="135"/>
      <c r="E8" s="135"/>
      <c r="F8" s="135"/>
      <c r="G8" s="1"/>
      <c r="H8" s="2"/>
      <c r="I8" s="2"/>
      <c r="J8" s="116"/>
      <c r="K8" s="1"/>
      <c r="L8" s="1"/>
      <c r="M8" s="1"/>
      <c r="N8" s="1"/>
      <c r="O8" s="1"/>
      <c r="P8" s="1"/>
      <c r="Q8" s="1"/>
      <c r="R8" s="1"/>
      <c r="S8" s="1"/>
      <c r="T8" s="1"/>
      <c r="U8" s="117"/>
      <c r="V8" s="5"/>
      <c r="W8" s="5"/>
      <c r="X8" s="5"/>
      <c r="Y8" s="5"/>
      <c r="Z8" s="5"/>
      <c r="AA8" s="5"/>
    </row>
    <row r="9" spans="1:27" ht="14.25" customHeight="1">
      <c r="A9" s="158" t="s">
        <v>7</v>
      </c>
      <c r="B9" s="135"/>
      <c r="C9" s="135"/>
      <c r="D9" s="135"/>
      <c r="E9" s="135"/>
      <c r="F9" s="135"/>
      <c r="G9" s="135"/>
      <c r="H9" s="135"/>
      <c r="I9" s="135"/>
      <c r="J9" s="135"/>
      <c r="K9" s="135"/>
      <c r="L9" s="135"/>
      <c r="M9" s="135"/>
      <c r="N9" s="135"/>
      <c r="O9" s="135"/>
      <c r="P9" s="135"/>
      <c r="Q9" s="135"/>
      <c r="R9" s="135"/>
      <c r="S9" s="135"/>
      <c r="T9" s="135"/>
      <c r="U9" s="135"/>
      <c r="V9" s="135"/>
      <c r="W9" s="135"/>
      <c r="X9" s="135"/>
      <c r="Y9" s="5"/>
      <c r="Z9" s="5"/>
      <c r="AA9" s="5"/>
    </row>
    <row r="10" spans="1:27" ht="14.25" customHeight="1">
      <c r="A10" s="1"/>
      <c r="B10" s="1"/>
      <c r="C10" s="1"/>
      <c r="D10" s="1"/>
      <c r="E10" s="1"/>
      <c r="F10" s="1"/>
      <c r="G10" s="1"/>
      <c r="H10" s="2"/>
      <c r="I10" s="2"/>
      <c r="J10" s="12"/>
      <c r="K10" s="1"/>
      <c r="L10" s="1"/>
      <c r="M10" s="1"/>
      <c r="N10" s="1"/>
      <c r="O10" s="1"/>
      <c r="P10" s="1"/>
      <c r="Q10" s="1"/>
      <c r="R10" s="1"/>
      <c r="S10" s="1"/>
      <c r="T10" s="1"/>
      <c r="U10" s="103"/>
      <c r="V10" s="1"/>
      <c r="W10" s="13"/>
      <c r="X10" s="1"/>
      <c r="Y10" s="5"/>
      <c r="Z10" s="5"/>
      <c r="AA10" s="5"/>
    </row>
    <row r="11" spans="1:27" ht="19.5" customHeight="1">
      <c r="A11" s="160" t="s">
        <v>8</v>
      </c>
      <c r="B11" s="142"/>
      <c r="C11" s="142"/>
      <c r="D11" s="142"/>
      <c r="E11" s="142"/>
      <c r="F11" s="142"/>
      <c r="G11" s="142"/>
      <c r="H11" s="142"/>
      <c r="I11" s="142"/>
      <c r="J11" s="137"/>
      <c r="K11" s="159" t="s">
        <v>9</v>
      </c>
      <c r="L11" s="160" t="s">
        <v>10</v>
      </c>
      <c r="M11" s="137"/>
      <c r="N11" s="159" t="s">
        <v>11</v>
      </c>
      <c r="O11" s="159" t="s">
        <v>12</v>
      </c>
      <c r="P11" s="160" t="s">
        <v>13</v>
      </c>
      <c r="Q11" s="137"/>
      <c r="R11" s="159" t="s">
        <v>14</v>
      </c>
      <c r="S11" s="160" t="s">
        <v>15</v>
      </c>
      <c r="T11" s="142"/>
      <c r="U11" s="142"/>
      <c r="V11" s="142"/>
      <c r="W11" s="142"/>
      <c r="X11" s="137"/>
      <c r="Y11" s="5"/>
      <c r="Z11" s="5"/>
      <c r="AA11" s="5"/>
    </row>
    <row r="12" spans="1:27" ht="14.25" customHeight="1">
      <c r="A12" s="160" t="s">
        <v>16</v>
      </c>
      <c r="B12" s="137"/>
      <c r="C12" s="159" t="s">
        <v>17</v>
      </c>
      <c r="D12" s="159" t="s">
        <v>18</v>
      </c>
      <c r="E12" s="160" t="s">
        <v>19</v>
      </c>
      <c r="F12" s="137"/>
      <c r="G12" s="159" t="s">
        <v>20</v>
      </c>
      <c r="H12" s="160" t="s">
        <v>21</v>
      </c>
      <c r="I12" s="137"/>
      <c r="J12" s="139" t="s">
        <v>22</v>
      </c>
      <c r="K12" s="140"/>
      <c r="L12" s="14" t="s">
        <v>23</v>
      </c>
      <c r="M12" s="14" t="s">
        <v>24</v>
      </c>
      <c r="N12" s="140"/>
      <c r="O12" s="140"/>
      <c r="P12" s="15" t="s">
        <v>25</v>
      </c>
      <c r="Q12" s="15" t="s">
        <v>26</v>
      </c>
      <c r="R12" s="140"/>
      <c r="S12" s="16" t="s">
        <v>27</v>
      </c>
      <c r="T12" s="17" t="s">
        <v>28</v>
      </c>
      <c r="U12" s="16" t="s">
        <v>29</v>
      </c>
      <c r="V12" s="18" t="s">
        <v>28</v>
      </c>
      <c r="W12" s="19" t="s">
        <v>30</v>
      </c>
      <c r="X12" s="18" t="s">
        <v>28</v>
      </c>
      <c r="Y12" s="5"/>
      <c r="Z12" s="5"/>
      <c r="AA12" s="5"/>
    </row>
    <row r="13" spans="1:27" ht="31.5" customHeight="1">
      <c r="A13" s="16" t="s">
        <v>31</v>
      </c>
      <c r="B13" s="16" t="s">
        <v>19</v>
      </c>
      <c r="C13" s="140"/>
      <c r="D13" s="140"/>
      <c r="E13" s="15" t="s">
        <v>32</v>
      </c>
      <c r="F13" s="15" t="s">
        <v>33</v>
      </c>
      <c r="G13" s="140"/>
      <c r="H13" s="15" t="s">
        <v>31</v>
      </c>
      <c r="I13" s="15" t="s">
        <v>19</v>
      </c>
      <c r="J13" s="140"/>
      <c r="K13" s="16" t="s">
        <v>34</v>
      </c>
      <c r="L13" s="15" t="s">
        <v>35</v>
      </c>
      <c r="M13" s="15" t="s">
        <v>36</v>
      </c>
      <c r="N13" s="15" t="s">
        <v>37</v>
      </c>
      <c r="O13" s="15" t="s">
        <v>38</v>
      </c>
      <c r="P13" s="15" t="s">
        <v>39</v>
      </c>
      <c r="Q13" s="15" t="s">
        <v>40</v>
      </c>
      <c r="R13" s="16" t="s">
        <v>41</v>
      </c>
      <c r="S13" s="20" t="s">
        <v>42</v>
      </c>
      <c r="T13" s="21" t="s">
        <v>43</v>
      </c>
      <c r="U13" s="20" t="s">
        <v>44</v>
      </c>
      <c r="V13" s="21" t="s">
        <v>45</v>
      </c>
      <c r="W13" s="19" t="s">
        <v>46</v>
      </c>
      <c r="X13" s="21" t="s">
        <v>47</v>
      </c>
      <c r="Y13" s="5"/>
      <c r="Z13" s="5"/>
      <c r="AA13" s="5"/>
    </row>
    <row r="14" spans="1:27" ht="63" customHeight="1">
      <c r="A14" s="22" t="s">
        <v>48</v>
      </c>
      <c r="B14" s="33" t="s">
        <v>49</v>
      </c>
      <c r="C14" s="33" t="s">
        <v>50</v>
      </c>
      <c r="D14" s="33" t="s">
        <v>51</v>
      </c>
      <c r="E14" s="114" t="s">
        <v>90</v>
      </c>
      <c r="F14" s="114" t="s">
        <v>167</v>
      </c>
      <c r="G14" s="33" t="s">
        <v>54</v>
      </c>
      <c r="H14" s="114" t="s">
        <v>148</v>
      </c>
      <c r="I14" s="114" t="s">
        <v>156</v>
      </c>
      <c r="J14" s="121">
        <v>3</v>
      </c>
      <c r="K14" s="109">
        <v>100000</v>
      </c>
      <c r="L14" s="105">
        <v>0</v>
      </c>
      <c r="M14" s="105">
        <v>100000</v>
      </c>
      <c r="N14" s="26">
        <f t="shared" ref="N14:N29" si="0">K14+L14-M14</f>
        <v>0</v>
      </c>
      <c r="O14" s="27"/>
      <c r="P14" s="27"/>
      <c r="Q14" s="27"/>
      <c r="R14" s="26">
        <f t="shared" ref="R14:R29" si="1">N14-O14+P14+Q14</f>
        <v>0</v>
      </c>
      <c r="S14" s="105">
        <v>0</v>
      </c>
      <c r="T14" s="28">
        <f t="shared" ref="T14:T30" si="2">IF(R14&gt;0,S14/R14,0)</f>
        <v>0</v>
      </c>
      <c r="U14" s="111">
        <v>0</v>
      </c>
      <c r="V14" s="28">
        <f t="shared" ref="V14:V30" si="3">IF(R14&gt;0,U14/R14,0)</f>
        <v>0</v>
      </c>
      <c r="W14" s="105">
        <v>0</v>
      </c>
      <c r="X14" s="28">
        <f t="shared" ref="X14:X30" si="4">IF(R14&gt;0,W14/R14,0)</f>
        <v>0</v>
      </c>
      <c r="Y14" s="5"/>
      <c r="Z14" s="5"/>
      <c r="AA14" s="5"/>
    </row>
    <row r="15" spans="1:27" ht="63" customHeight="1">
      <c r="A15" s="22" t="s">
        <v>48</v>
      </c>
      <c r="B15" s="33" t="s">
        <v>49</v>
      </c>
      <c r="C15" s="33" t="s">
        <v>50</v>
      </c>
      <c r="D15" s="33" t="s">
        <v>57</v>
      </c>
      <c r="E15" s="114" t="s">
        <v>90</v>
      </c>
      <c r="F15" s="33" t="s">
        <v>58</v>
      </c>
      <c r="G15" s="33" t="s">
        <v>54</v>
      </c>
      <c r="H15" s="114" t="s">
        <v>148</v>
      </c>
      <c r="I15" s="114" t="s">
        <v>156</v>
      </c>
      <c r="J15" s="121">
        <v>3</v>
      </c>
      <c r="K15" s="109">
        <v>77675500</v>
      </c>
      <c r="L15" s="105">
        <v>245000</v>
      </c>
      <c r="M15" s="105">
        <v>245000</v>
      </c>
      <c r="N15" s="26">
        <f t="shared" si="0"/>
        <v>77675500</v>
      </c>
      <c r="O15" s="124"/>
      <c r="P15" s="27"/>
      <c r="Q15" s="27"/>
      <c r="R15" s="26">
        <f t="shared" si="1"/>
        <v>77675500</v>
      </c>
      <c r="S15" s="105">
        <v>71272080.620000005</v>
      </c>
      <c r="T15" s="28">
        <f t="shared" si="2"/>
        <v>0.91756191617691552</v>
      </c>
      <c r="U15" s="111">
        <v>71272080.620000005</v>
      </c>
      <c r="V15" s="28">
        <f t="shared" si="3"/>
        <v>0.91756191617691552</v>
      </c>
      <c r="W15" s="105">
        <v>71272080.620000005</v>
      </c>
      <c r="X15" s="28">
        <f t="shared" si="4"/>
        <v>0.91756191617691552</v>
      </c>
      <c r="Y15" s="30"/>
      <c r="Z15" s="5"/>
      <c r="AA15" s="5"/>
    </row>
    <row r="16" spans="1:27" ht="63" customHeight="1">
      <c r="A16" s="22" t="s">
        <v>48</v>
      </c>
      <c r="B16" s="33" t="s">
        <v>49</v>
      </c>
      <c r="C16" s="33" t="s">
        <v>50</v>
      </c>
      <c r="D16" s="33" t="s">
        <v>59</v>
      </c>
      <c r="E16" s="114" t="s">
        <v>90</v>
      </c>
      <c r="F16" s="33" t="s">
        <v>60</v>
      </c>
      <c r="G16" s="33" t="s">
        <v>54</v>
      </c>
      <c r="H16" s="114" t="s">
        <v>148</v>
      </c>
      <c r="I16" s="114" t="s">
        <v>156</v>
      </c>
      <c r="J16" s="31">
        <v>1</v>
      </c>
      <c r="K16" s="109">
        <v>470000000</v>
      </c>
      <c r="L16" s="105">
        <v>43845262.359999999</v>
      </c>
      <c r="M16" s="105">
        <v>45055288.450000003</v>
      </c>
      <c r="N16" s="26">
        <f t="shared" si="0"/>
        <v>468789973.91000003</v>
      </c>
      <c r="O16" s="27"/>
      <c r="P16" s="27"/>
      <c r="Q16" s="27"/>
      <c r="R16" s="26">
        <f t="shared" si="1"/>
        <v>468789973.91000003</v>
      </c>
      <c r="S16" s="105">
        <v>450268701.82999998</v>
      </c>
      <c r="T16" s="28">
        <f t="shared" si="2"/>
        <v>0.96049132210417998</v>
      </c>
      <c r="U16" s="107">
        <v>450263733.06</v>
      </c>
      <c r="V16" s="28">
        <f t="shared" si="3"/>
        <v>0.96048072296538334</v>
      </c>
      <c r="W16" s="105">
        <v>436304122.20999998</v>
      </c>
      <c r="X16" s="28">
        <f t="shared" si="4"/>
        <v>0.93070275921422163</v>
      </c>
      <c r="Y16" s="5"/>
      <c r="Z16" s="5"/>
      <c r="AA16" s="5"/>
    </row>
    <row r="17" spans="1:27" ht="63" customHeight="1">
      <c r="A17" s="22" t="s">
        <v>48</v>
      </c>
      <c r="B17" s="33" t="s">
        <v>49</v>
      </c>
      <c r="C17" s="33" t="s">
        <v>50</v>
      </c>
      <c r="D17" s="33" t="s">
        <v>64</v>
      </c>
      <c r="E17" s="33" t="s">
        <v>65</v>
      </c>
      <c r="F17" s="33" t="s">
        <v>66</v>
      </c>
      <c r="G17" s="33" t="s">
        <v>54</v>
      </c>
      <c r="H17" s="114" t="s">
        <v>148</v>
      </c>
      <c r="I17" s="114" t="s">
        <v>156</v>
      </c>
      <c r="J17" s="121">
        <v>3</v>
      </c>
      <c r="K17" s="109">
        <v>22575500</v>
      </c>
      <c r="L17" s="105">
        <v>46000</v>
      </c>
      <c r="M17" s="105">
        <v>46000</v>
      </c>
      <c r="N17" s="26">
        <f t="shared" si="0"/>
        <v>22575500</v>
      </c>
      <c r="O17" s="27"/>
      <c r="P17" s="27"/>
      <c r="Q17" s="27"/>
      <c r="R17" s="26">
        <f t="shared" si="1"/>
        <v>22575500</v>
      </c>
      <c r="S17" s="105">
        <v>20842232.489999998</v>
      </c>
      <c r="T17" s="28">
        <f t="shared" si="2"/>
        <v>0.92322351620119147</v>
      </c>
      <c r="U17" s="111">
        <v>20842232.489999998</v>
      </c>
      <c r="V17" s="28">
        <f t="shared" si="3"/>
        <v>0.92322351620119147</v>
      </c>
      <c r="W17" s="105">
        <v>20842232.489999998</v>
      </c>
      <c r="X17" s="28">
        <f t="shared" si="4"/>
        <v>0.92322351620119147</v>
      </c>
      <c r="Y17" s="5"/>
      <c r="Z17" s="5"/>
      <c r="AA17" s="5"/>
    </row>
    <row r="18" spans="1:27" ht="63" customHeight="1">
      <c r="A18" s="22" t="s">
        <v>48</v>
      </c>
      <c r="B18" s="33" t="s">
        <v>49</v>
      </c>
      <c r="C18" s="33" t="s">
        <v>50</v>
      </c>
      <c r="D18" s="114" t="s">
        <v>113</v>
      </c>
      <c r="E18" s="33" t="s">
        <v>65</v>
      </c>
      <c r="F18" s="114" t="s">
        <v>168</v>
      </c>
      <c r="G18" s="33" t="s">
        <v>54</v>
      </c>
      <c r="H18" s="114" t="s">
        <v>148</v>
      </c>
      <c r="I18" s="114" t="s">
        <v>156</v>
      </c>
      <c r="J18" s="121">
        <v>3</v>
      </c>
      <c r="K18" s="109">
        <v>50000</v>
      </c>
      <c r="L18" s="105">
        <v>0</v>
      </c>
      <c r="M18" s="105">
        <v>50000</v>
      </c>
      <c r="N18" s="26">
        <f t="shared" si="0"/>
        <v>0</v>
      </c>
      <c r="O18" s="27"/>
      <c r="P18" s="27"/>
      <c r="Q18" s="27"/>
      <c r="R18" s="26">
        <f t="shared" si="1"/>
        <v>0</v>
      </c>
      <c r="S18" s="105">
        <v>0</v>
      </c>
      <c r="T18" s="28">
        <f t="shared" si="2"/>
        <v>0</v>
      </c>
      <c r="U18" s="111">
        <v>0</v>
      </c>
      <c r="V18" s="28">
        <f t="shared" si="3"/>
        <v>0</v>
      </c>
      <c r="W18" s="105">
        <v>0</v>
      </c>
      <c r="X18" s="28">
        <f t="shared" si="4"/>
        <v>0</v>
      </c>
      <c r="Y18" s="5"/>
      <c r="Z18" s="5"/>
      <c r="AA18" s="5"/>
    </row>
    <row r="19" spans="1:27" ht="63" customHeight="1">
      <c r="A19" s="22" t="s">
        <v>48</v>
      </c>
      <c r="B19" s="33" t="s">
        <v>49</v>
      </c>
      <c r="C19" s="33" t="s">
        <v>50</v>
      </c>
      <c r="D19" s="33" t="s">
        <v>67</v>
      </c>
      <c r="E19" s="33" t="s">
        <v>65</v>
      </c>
      <c r="F19" s="114" t="s">
        <v>157</v>
      </c>
      <c r="G19" s="33" t="s">
        <v>54</v>
      </c>
      <c r="H19" s="114" t="s">
        <v>148</v>
      </c>
      <c r="I19" s="114" t="s">
        <v>156</v>
      </c>
      <c r="J19" s="31">
        <v>1</v>
      </c>
      <c r="K19" s="109">
        <v>123000000</v>
      </c>
      <c r="L19" s="105">
        <v>8883896.0700000003</v>
      </c>
      <c r="M19" s="105">
        <v>8883896.0700000003</v>
      </c>
      <c r="N19" s="26">
        <f t="shared" si="0"/>
        <v>123000000</v>
      </c>
      <c r="O19" s="27"/>
      <c r="P19" s="27"/>
      <c r="Q19" s="27"/>
      <c r="R19" s="26">
        <f t="shared" si="1"/>
        <v>123000000</v>
      </c>
      <c r="S19" s="105">
        <v>118668133.54000001</v>
      </c>
      <c r="T19" s="28">
        <f t="shared" si="2"/>
        <v>0.96478157349593496</v>
      </c>
      <c r="U19" s="107">
        <v>118648133.54000001</v>
      </c>
      <c r="V19" s="28">
        <f t="shared" si="3"/>
        <v>0.96461897186991874</v>
      </c>
      <c r="W19" s="105">
        <v>115257982.08</v>
      </c>
      <c r="X19" s="28">
        <f t="shared" si="4"/>
        <v>0.93705676487804879</v>
      </c>
      <c r="Y19" s="5"/>
      <c r="Z19" s="5"/>
      <c r="AA19" s="5"/>
    </row>
    <row r="20" spans="1:27" ht="63" customHeight="1">
      <c r="A20" s="22" t="s">
        <v>48</v>
      </c>
      <c r="B20" s="33" t="s">
        <v>49</v>
      </c>
      <c r="C20" s="33" t="s">
        <v>50</v>
      </c>
      <c r="D20" s="33" t="s">
        <v>69</v>
      </c>
      <c r="E20" s="33" t="s">
        <v>65</v>
      </c>
      <c r="F20" s="33" t="s">
        <v>70</v>
      </c>
      <c r="G20" s="33" t="s">
        <v>54</v>
      </c>
      <c r="H20" s="114" t="s">
        <v>148</v>
      </c>
      <c r="I20" s="114" t="s">
        <v>156</v>
      </c>
      <c r="J20" s="31">
        <v>1</v>
      </c>
      <c r="K20" s="109">
        <v>151000000</v>
      </c>
      <c r="L20" s="105">
        <v>3101452.4</v>
      </c>
      <c r="M20" s="105">
        <v>3101452.4</v>
      </c>
      <c r="N20" s="26">
        <f t="shared" si="0"/>
        <v>151000000</v>
      </c>
      <c r="O20" s="27"/>
      <c r="P20" s="27"/>
      <c r="Q20" s="27"/>
      <c r="R20" s="26">
        <f t="shared" si="1"/>
        <v>151000000</v>
      </c>
      <c r="S20" s="105">
        <v>146776337.19</v>
      </c>
      <c r="T20" s="28">
        <f t="shared" si="2"/>
        <v>0.97202872311258282</v>
      </c>
      <c r="U20" s="107">
        <v>146776337.19</v>
      </c>
      <c r="V20" s="28">
        <f t="shared" si="3"/>
        <v>0.97202872311258282</v>
      </c>
      <c r="W20" s="105">
        <v>142612429.71000001</v>
      </c>
      <c r="X20" s="28">
        <f t="shared" si="4"/>
        <v>0.94445317688741726</v>
      </c>
      <c r="Y20" s="5"/>
      <c r="Z20" s="5"/>
      <c r="AA20" s="5"/>
    </row>
    <row r="21" spans="1:27" ht="63" customHeight="1">
      <c r="A21" s="22" t="s">
        <v>48</v>
      </c>
      <c r="B21" s="33" t="s">
        <v>49</v>
      </c>
      <c r="C21" s="33" t="s">
        <v>50</v>
      </c>
      <c r="D21" s="33" t="s">
        <v>71</v>
      </c>
      <c r="E21" s="33" t="s">
        <v>65</v>
      </c>
      <c r="F21" s="33" t="s">
        <v>72</v>
      </c>
      <c r="G21" s="33" t="s">
        <v>54</v>
      </c>
      <c r="H21" s="114" t="s">
        <v>148</v>
      </c>
      <c r="I21" s="114" t="s">
        <v>156</v>
      </c>
      <c r="J21" s="121">
        <v>3</v>
      </c>
      <c r="K21" s="109">
        <v>25475500</v>
      </c>
      <c r="L21" s="105">
        <v>0</v>
      </c>
      <c r="M21" s="105">
        <v>0</v>
      </c>
      <c r="N21" s="26">
        <f t="shared" si="0"/>
        <v>25475500</v>
      </c>
      <c r="O21" s="27"/>
      <c r="P21" s="27"/>
      <c r="Q21" s="27"/>
      <c r="R21" s="26">
        <f t="shared" si="1"/>
        <v>25475500</v>
      </c>
      <c r="S21" s="105">
        <v>23114869.850000001</v>
      </c>
      <c r="T21" s="28">
        <f t="shared" si="2"/>
        <v>0.9073372397008892</v>
      </c>
      <c r="U21" s="111">
        <v>23114869.850000001</v>
      </c>
      <c r="V21" s="28">
        <f t="shared" si="3"/>
        <v>0.9073372397008892</v>
      </c>
      <c r="W21" s="105">
        <v>23114869.850000001</v>
      </c>
      <c r="X21" s="28">
        <f t="shared" si="4"/>
        <v>0.9073372397008892</v>
      </c>
      <c r="Y21" s="5"/>
      <c r="Z21" s="5"/>
      <c r="AA21" s="5"/>
    </row>
    <row r="22" spans="1:27" ht="63" customHeight="1">
      <c r="A22" s="120" t="s">
        <v>48</v>
      </c>
      <c r="B22" s="114" t="s">
        <v>49</v>
      </c>
      <c r="C22" s="114" t="s">
        <v>73</v>
      </c>
      <c r="D22" s="114" t="s">
        <v>183</v>
      </c>
      <c r="E22" s="114" t="s">
        <v>187</v>
      </c>
      <c r="F22" s="114" t="s">
        <v>184</v>
      </c>
      <c r="G22" s="114" t="s">
        <v>54</v>
      </c>
      <c r="H22" s="114" t="s">
        <v>185</v>
      </c>
      <c r="I22" s="114" t="s">
        <v>186</v>
      </c>
      <c r="J22" s="125">
        <v>3</v>
      </c>
      <c r="K22" s="109">
        <v>0</v>
      </c>
      <c r="L22" s="109">
        <v>200000</v>
      </c>
      <c r="M22" s="109">
        <v>0</v>
      </c>
      <c r="N22" s="36">
        <f t="shared" si="0"/>
        <v>200000</v>
      </c>
      <c r="O22" s="133"/>
      <c r="P22" s="133"/>
      <c r="Q22" s="133"/>
      <c r="R22" s="36">
        <f t="shared" si="1"/>
        <v>200000</v>
      </c>
      <c r="S22" s="109">
        <v>199862</v>
      </c>
      <c r="T22" s="38">
        <f t="shared" si="2"/>
        <v>0.99931000000000003</v>
      </c>
      <c r="U22" s="111">
        <v>0</v>
      </c>
      <c r="V22" s="38">
        <f t="shared" si="3"/>
        <v>0</v>
      </c>
      <c r="W22" s="109">
        <v>0</v>
      </c>
      <c r="X22" s="38">
        <f t="shared" si="4"/>
        <v>0</v>
      </c>
      <c r="Y22" s="5"/>
      <c r="Z22" s="5"/>
      <c r="AA22" s="5"/>
    </row>
    <row r="23" spans="1:27" ht="63" customHeight="1">
      <c r="A23" s="22" t="s">
        <v>48</v>
      </c>
      <c r="B23" s="33" t="s">
        <v>49</v>
      </c>
      <c r="C23" s="33" t="s">
        <v>76</v>
      </c>
      <c r="D23" s="33" t="s">
        <v>77</v>
      </c>
      <c r="E23" s="33" t="s">
        <v>65</v>
      </c>
      <c r="F23" s="33" t="s">
        <v>78</v>
      </c>
      <c r="G23" s="33" t="s">
        <v>54</v>
      </c>
      <c r="H23" s="114" t="s">
        <v>148</v>
      </c>
      <c r="I23" s="114" t="s">
        <v>156</v>
      </c>
      <c r="J23" s="31">
        <v>1</v>
      </c>
      <c r="K23" s="108">
        <v>300000</v>
      </c>
      <c r="L23" s="105">
        <f>148679</f>
        <v>148679</v>
      </c>
      <c r="M23" s="105">
        <v>0</v>
      </c>
      <c r="N23" s="26">
        <f t="shared" si="0"/>
        <v>448679</v>
      </c>
      <c r="O23" s="26"/>
      <c r="P23" s="26"/>
      <c r="Q23" s="26"/>
      <c r="R23" s="26">
        <f t="shared" si="1"/>
        <v>448679</v>
      </c>
      <c r="S23" s="109">
        <v>373514</v>
      </c>
      <c r="T23" s="28">
        <f t="shared" si="2"/>
        <v>0.83247488739165421</v>
      </c>
      <c r="U23" s="107">
        <v>373514</v>
      </c>
      <c r="V23" s="28">
        <f t="shared" si="3"/>
        <v>0.83247488739165421</v>
      </c>
      <c r="W23" s="105">
        <v>373514</v>
      </c>
      <c r="X23" s="28">
        <f t="shared" si="4"/>
        <v>0.83247488739165421</v>
      </c>
      <c r="Y23" s="5"/>
      <c r="Z23" s="5"/>
      <c r="AA23" s="5"/>
    </row>
    <row r="24" spans="1:27" ht="63" customHeight="1">
      <c r="A24" s="120" t="s">
        <v>48</v>
      </c>
      <c r="B24" s="33" t="s">
        <v>49</v>
      </c>
      <c r="C24" s="114" t="s">
        <v>76</v>
      </c>
      <c r="D24" s="114" t="s">
        <v>77</v>
      </c>
      <c r="E24" s="33" t="s">
        <v>65</v>
      </c>
      <c r="F24" s="33" t="s">
        <v>78</v>
      </c>
      <c r="G24" s="114" t="s">
        <v>54</v>
      </c>
      <c r="H24" s="114" t="s">
        <v>148</v>
      </c>
      <c r="I24" s="114" t="s">
        <v>156</v>
      </c>
      <c r="J24" s="125">
        <v>3</v>
      </c>
      <c r="K24" s="108">
        <v>0</v>
      </c>
      <c r="L24" s="105">
        <v>50000</v>
      </c>
      <c r="M24" s="105">
        <v>50000</v>
      </c>
      <c r="N24" s="26">
        <f t="shared" si="0"/>
        <v>0</v>
      </c>
      <c r="O24" s="26"/>
      <c r="P24" s="26"/>
      <c r="Q24" s="26"/>
      <c r="R24" s="26">
        <f t="shared" si="1"/>
        <v>0</v>
      </c>
      <c r="S24" s="109">
        <v>0</v>
      </c>
      <c r="T24" s="28">
        <f t="shared" si="2"/>
        <v>0</v>
      </c>
      <c r="U24" s="132">
        <v>0</v>
      </c>
      <c r="V24" s="28">
        <f t="shared" si="3"/>
        <v>0</v>
      </c>
      <c r="W24" s="105">
        <v>0</v>
      </c>
      <c r="X24" s="28">
        <f t="shared" si="4"/>
        <v>0</v>
      </c>
      <c r="Y24" s="5"/>
      <c r="Z24" s="5"/>
      <c r="AA24" s="5"/>
    </row>
    <row r="25" spans="1:27" ht="63" customHeight="1">
      <c r="A25" s="120" t="s">
        <v>48</v>
      </c>
      <c r="B25" s="114" t="s">
        <v>49</v>
      </c>
      <c r="C25" s="114" t="s">
        <v>76</v>
      </c>
      <c r="D25" s="114" t="s">
        <v>61</v>
      </c>
      <c r="E25" s="33" t="s">
        <v>65</v>
      </c>
      <c r="F25" s="114" t="s">
        <v>169</v>
      </c>
      <c r="G25" s="114" t="s">
        <v>54</v>
      </c>
      <c r="H25" s="114" t="s">
        <v>148</v>
      </c>
      <c r="I25" s="114" t="s">
        <v>156</v>
      </c>
      <c r="J25" s="127">
        <v>1</v>
      </c>
      <c r="K25" s="108">
        <v>300000</v>
      </c>
      <c r="L25" s="105">
        <v>0</v>
      </c>
      <c r="M25" s="105">
        <v>0</v>
      </c>
      <c r="N25" s="26">
        <f t="shared" si="0"/>
        <v>300000</v>
      </c>
      <c r="O25" s="26"/>
      <c r="P25" s="26"/>
      <c r="Q25" s="26"/>
      <c r="R25" s="26">
        <f t="shared" si="1"/>
        <v>300000</v>
      </c>
      <c r="S25" s="109">
        <v>249715</v>
      </c>
      <c r="T25" s="28">
        <f t="shared" si="2"/>
        <v>0.83238333333333336</v>
      </c>
      <c r="U25" s="107">
        <v>249715</v>
      </c>
      <c r="V25" s="28">
        <f t="shared" si="3"/>
        <v>0.83238333333333336</v>
      </c>
      <c r="W25" s="105">
        <v>249715</v>
      </c>
      <c r="X25" s="28">
        <f t="shared" si="4"/>
        <v>0.83238333333333336</v>
      </c>
      <c r="Y25" s="5"/>
      <c r="Z25" s="5"/>
      <c r="AA25" s="5"/>
    </row>
    <row r="26" spans="1:27" ht="63" customHeight="1">
      <c r="A26" s="22" t="s">
        <v>48</v>
      </c>
      <c r="B26" s="33" t="s">
        <v>49</v>
      </c>
      <c r="C26" s="33" t="s">
        <v>79</v>
      </c>
      <c r="D26" s="33" t="s">
        <v>80</v>
      </c>
      <c r="E26" s="114" t="s">
        <v>158</v>
      </c>
      <c r="F26" s="33" t="s">
        <v>81</v>
      </c>
      <c r="G26" s="114" t="s">
        <v>159</v>
      </c>
      <c r="H26" s="114" t="s">
        <v>148</v>
      </c>
      <c r="I26" s="114" t="s">
        <v>156</v>
      </c>
      <c r="J26" s="31">
        <v>1</v>
      </c>
      <c r="K26" s="109">
        <f>153539737-K27</f>
        <v>147464237</v>
      </c>
      <c r="L26" s="105">
        <f t="shared" ref="L26:M26" si="5">41058755.56-L27</f>
        <v>40055956.200000003</v>
      </c>
      <c r="M26" s="105">
        <f t="shared" si="5"/>
        <v>41055956.200000003</v>
      </c>
      <c r="N26" s="26">
        <f t="shared" si="0"/>
        <v>146464237</v>
      </c>
      <c r="O26" s="26"/>
      <c r="P26" s="26"/>
      <c r="Q26" s="26">
        <f>-23489830.45-39536641.12</f>
        <v>-63026471.569999993</v>
      </c>
      <c r="R26" s="26">
        <f t="shared" si="1"/>
        <v>83437765.430000007</v>
      </c>
      <c r="S26" s="105">
        <f>73082823.99-S27</f>
        <v>66653248.609999992</v>
      </c>
      <c r="T26" s="28">
        <f t="shared" si="2"/>
        <v>0.79883789152908991</v>
      </c>
      <c r="U26" s="107">
        <f>72840236.69-U27</f>
        <v>66446998.609999999</v>
      </c>
      <c r="V26" s="28">
        <f t="shared" si="3"/>
        <v>0.79636598928030511</v>
      </c>
      <c r="W26" s="105">
        <f>72840236.69-W27</f>
        <v>66446998.609999999</v>
      </c>
      <c r="X26" s="28">
        <f t="shared" si="4"/>
        <v>0.79636598928030511</v>
      </c>
      <c r="Y26" s="5"/>
      <c r="Z26" s="5"/>
      <c r="AA26" s="5"/>
    </row>
    <row r="27" spans="1:27" ht="63" customHeight="1">
      <c r="A27" s="22" t="s">
        <v>48</v>
      </c>
      <c r="B27" s="33" t="s">
        <v>49</v>
      </c>
      <c r="C27" s="33" t="s">
        <v>79</v>
      </c>
      <c r="D27" s="33" t="s">
        <v>80</v>
      </c>
      <c r="E27" s="114" t="s">
        <v>158</v>
      </c>
      <c r="F27" s="33" t="s">
        <v>81</v>
      </c>
      <c r="G27" s="114" t="s">
        <v>159</v>
      </c>
      <c r="H27" s="114" t="s">
        <v>148</v>
      </c>
      <c r="I27" s="114" t="s">
        <v>156</v>
      </c>
      <c r="J27" s="121">
        <v>3</v>
      </c>
      <c r="K27" s="109">
        <v>6075500</v>
      </c>
      <c r="L27" s="105">
        <f>1000000+2799.36</f>
        <v>1002799.36</v>
      </c>
      <c r="M27" s="105">
        <v>2799.36</v>
      </c>
      <c r="N27" s="26">
        <f t="shared" si="0"/>
        <v>7075500</v>
      </c>
      <c r="O27" s="26"/>
      <c r="P27" s="26"/>
      <c r="Q27" s="119"/>
      <c r="R27" s="26">
        <f t="shared" si="1"/>
        <v>7075500</v>
      </c>
      <c r="S27" s="105">
        <f>47721.31+280514.74+6098539.97+2799.36</f>
        <v>6429575.3799999999</v>
      </c>
      <c r="T27" s="28">
        <f t="shared" si="2"/>
        <v>0.90870968553459119</v>
      </c>
      <c r="U27" s="111">
        <f>47721.31+244177.44+6098539.97+2799.36</f>
        <v>6393238.0800000001</v>
      </c>
      <c r="V27" s="28">
        <f t="shared" si="3"/>
        <v>0.90357403434386263</v>
      </c>
      <c r="W27" s="105">
        <f>47721.31+244177.44+6098539.97+2799.36</f>
        <v>6393238.0800000001</v>
      </c>
      <c r="X27" s="28">
        <f t="shared" si="4"/>
        <v>0.90357403434386263</v>
      </c>
      <c r="Y27" s="5"/>
      <c r="Z27" s="5"/>
      <c r="AA27" s="5"/>
    </row>
    <row r="28" spans="1:27" ht="63" customHeight="1">
      <c r="A28" s="22" t="s">
        <v>48</v>
      </c>
      <c r="B28" s="23" t="s">
        <v>49</v>
      </c>
      <c r="C28" s="23" t="s">
        <v>83</v>
      </c>
      <c r="D28" s="23" t="s">
        <v>84</v>
      </c>
      <c r="E28" s="104" t="s">
        <v>160</v>
      </c>
      <c r="F28" s="23" t="s">
        <v>85</v>
      </c>
      <c r="G28" s="23" t="s">
        <v>54</v>
      </c>
      <c r="H28" s="104" t="s">
        <v>148</v>
      </c>
      <c r="I28" s="114" t="s">
        <v>156</v>
      </c>
      <c r="J28" s="31">
        <v>1</v>
      </c>
      <c r="K28" s="105">
        <v>152763</v>
      </c>
      <c r="L28" s="105">
        <v>0</v>
      </c>
      <c r="M28" s="105">
        <v>94207.679999999993</v>
      </c>
      <c r="N28" s="26">
        <f t="shared" si="0"/>
        <v>58555.320000000007</v>
      </c>
      <c r="O28" s="26"/>
      <c r="P28" s="26"/>
      <c r="Q28" s="26"/>
      <c r="R28" s="26">
        <f t="shared" si="1"/>
        <v>58555.320000000007</v>
      </c>
      <c r="S28" s="105">
        <v>58555.32</v>
      </c>
      <c r="T28" s="28">
        <f t="shared" si="2"/>
        <v>0.99999999999999989</v>
      </c>
      <c r="U28" s="107">
        <v>58555.32</v>
      </c>
      <c r="V28" s="28">
        <f t="shared" si="3"/>
        <v>0.99999999999999989</v>
      </c>
      <c r="W28" s="105">
        <v>58555.32</v>
      </c>
      <c r="X28" s="28">
        <f t="shared" si="4"/>
        <v>0.99999999999999989</v>
      </c>
      <c r="Y28" s="5"/>
      <c r="Z28" s="5"/>
      <c r="AA28" s="5"/>
    </row>
    <row r="29" spans="1:27" ht="63" customHeight="1">
      <c r="A29" s="22" t="s">
        <v>48</v>
      </c>
      <c r="B29" s="23" t="s">
        <v>49</v>
      </c>
      <c r="C29" s="23" t="s">
        <v>83</v>
      </c>
      <c r="D29" s="23" t="s">
        <v>84</v>
      </c>
      <c r="E29" s="104" t="s">
        <v>160</v>
      </c>
      <c r="F29" s="23" t="s">
        <v>85</v>
      </c>
      <c r="G29" s="23" t="s">
        <v>54</v>
      </c>
      <c r="H29" s="104" t="s">
        <v>148</v>
      </c>
      <c r="I29" s="114" t="s">
        <v>156</v>
      </c>
      <c r="J29" s="128">
        <v>3</v>
      </c>
      <c r="K29" s="105">
        <v>0</v>
      </c>
      <c r="L29" s="105">
        <v>1305554.77</v>
      </c>
      <c r="M29" s="105">
        <v>0</v>
      </c>
      <c r="N29" s="26">
        <f t="shared" si="0"/>
        <v>1305554.77</v>
      </c>
      <c r="O29" s="26"/>
      <c r="P29" s="26"/>
      <c r="Q29" s="26"/>
      <c r="R29" s="26">
        <f t="shared" si="1"/>
        <v>1305554.77</v>
      </c>
      <c r="S29" s="105">
        <v>1305554.77</v>
      </c>
      <c r="T29" s="28">
        <f t="shared" si="2"/>
        <v>1</v>
      </c>
      <c r="U29" s="132">
        <v>0</v>
      </c>
      <c r="V29" s="28">
        <f t="shared" si="3"/>
        <v>0</v>
      </c>
      <c r="W29" s="105">
        <v>0</v>
      </c>
      <c r="X29" s="28">
        <f t="shared" si="4"/>
        <v>0</v>
      </c>
      <c r="Y29" s="5"/>
      <c r="Z29" s="5"/>
      <c r="AA29" s="5"/>
    </row>
    <row r="30" spans="1:27" ht="16.5" customHeight="1">
      <c r="A30" s="141" t="s">
        <v>86</v>
      </c>
      <c r="B30" s="142"/>
      <c r="C30" s="142"/>
      <c r="D30" s="142"/>
      <c r="E30" s="142"/>
      <c r="F30" s="142"/>
      <c r="G30" s="142"/>
      <c r="H30" s="142"/>
      <c r="I30" s="142"/>
      <c r="J30" s="137"/>
      <c r="K30" s="39">
        <f t="shared" ref="K30:M30" si="6">SUM(K14:K29)</f>
        <v>1024169000</v>
      </c>
      <c r="L30" s="39">
        <f t="shared" si="6"/>
        <v>98884600.159999996</v>
      </c>
      <c r="M30" s="39">
        <f t="shared" si="6"/>
        <v>98684600.160000011</v>
      </c>
      <c r="N30" s="39">
        <f t="shared" ref="N30:Q30" si="7">SUM(N14:N28)</f>
        <v>1023063445.2300001</v>
      </c>
      <c r="O30" s="39">
        <f t="shared" si="7"/>
        <v>0</v>
      </c>
      <c r="P30" s="39">
        <f t="shared" si="7"/>
        <v>0</v>
      </c>
      <c r="Q30" s="39">
        <f t="shared" si="7"/>
        <v>-63026471.569999993</v>
      </c>
      <c r="R30" s="39">
        <f t="shared" ref="R30:S30" si="8">SUM(R14:R29)</f>
        <v>961342528.43000019</v>
      </c>
      <c r="S30" s="39">
        <f t="shared" si="8"/>
        <v>906212380.5999999</v>
      </c>
      <c r="T30" s="40">
        <f t="shared" si="2"/>
        <v>0.94265296062576664</v>
      </c>
      <c r="U30" s="39">
        <f>SUM(U14:U29)</f>
        <v>904439407.75999999</v>
      </c>
      <c r="V30" s="40">
        <f t="shared" si="3"/>
        <v>0.94080869306496762</v>
      </c>
      <c r="W30" s="39">
        <f>SUM(W14:W29)</f>
        <v>882925737.97000015</v>
      </c>
      <c r="X30" s="40">
        <f t="shared" si="4"/>
        <v>0.91842991635035121</v>
      </c>
      <c r="Y30" s="5"/>
      <c r="Z30" s="5"/>
      <c r="AA30" s="5"/>
    </row>
    <row r="31" spans="1:27" ht="15" customHeight="1">
      <c r="A31" s="41"/>
      <c r="B31" s="41"/>
      <c r="C31" s="41"/>
      <c r="D31" s="41"/>
      <c r="E31" s="41"/>
      <c r="F31" s="41"/>
      <c r="G31" s="41"/>
      <c r="H31" s="41"/>
      <c r="I31" s="41"/>
      <c r="J31" s="41"/>
      <c r="K31" s="39"/>
      <c r="L31" s="39"/>
      <c r="M31" s="39"/>
      <c r="N31" s="39"/>
      <c r="O31" s="39"/>
      <c r="P31" s="39"/>
      <c r="Q31" s="39"/>
      <c r="R31" s="39"/>
      <c r="S31" s="39"/>
      <c r="T31" s="40"/>
      <c r="U31" s="39"/>
      <c r="V31" s="40"/>
      <c r="W31" s="39"/>
      <c r="X31" s="40"/>
      <c r="Y31" s="5"/>
      <c r="Z31" s="5"/>
      <c r="AA31" s="5"/>
    </row>
    <row r="32" spans="1:27" ht="15" customHeight="1">
      <c r="A32" s="42"/>
      <c r="B32" s="42"/>
      <c r="C32" s="42"/>
      <c r="D32" s="42"/>
      <c r="E32" s="42"/>
      <c r="F32" s="42"/>
      <c r="G32" s="42"/>
      <c r="H32" s="42"/>
      <c r="I32" s="42"/>
      <c r="J32" s="42"/>
      <c r="K32" s="43"/>
      <c r="L32" s="43"/>
      <c r="M32" s="43"/>
      <c r="N32" s="43"/>
      <c r="O32" s="43"/>
      <c r="P32" s="43"/>
      <c r="Q32" s="43"/>
      <c r="R32" s="43"/>
      <c r="S32" s="43"/>
      <c r="T32" s="38"/>
      <c r="U32" s="43"/>
      <c r="V32" s="38"/>
      <c r="W32" s="43"/>
      <c r="X32" s="38"/>
      <c r="Y32" s="5"/>
      <c r="Z32" s="5"/>
      <c r="AA32" s="5"/>
    </row>
    <row r="33" spans="1:27" ht="54" customHeight="1">
      <c r="A33" s="120" t="s">
        <v>87</v>
      </c>
      <c r="B33" s="33" t="s">
        <v>88</v>
      </c>
      <c r="C33" s="114" t="s">
        <v>50</v>
      </c>
      <c r="D33" s="114" t="s">
        <v>98</v>
      </c>
      <c r="E33" s="33" t="s">
        <v>90</v>
      </c>
      <c r="F33" s="114" t="s">
        <v>170</v>
      </c>
      <c r="G33" s="114" t="s">
        <v>54</v>
      </c>
      <c r="H33" s="114" t="s">
        <v>150</v>
      </c>
      <c r="I33" s="114" t="s">
        <v>161</v>
      </c>
      <c r="J33" s="123">
        <v>4</v>
      </c>
      <c r="K33" s="108">
        <v>43418381</v>
      </c>
      <c r="L33" s="105">
        <v>0</v>
      </c>
      <c r="M33" s="105">
        <v>43414420.840000004</v>
      </c>
      <c r="N33" s="26">
        <f t="shared" ref="N33:N74" si="9">K33+L33-M33</f>
        <v>3960.1599999964237</v>
      </c>
      <c r="O33" s="27"/>
      <c r="P33" s="27"/>
      <c r="Q33" s="27"/>
      <c r="R33" s="26">
        <f t="shared" ref="R33:R74" si="10">N33-O33+P33+Q33</f>
        <v>3960.1599999964237</v>
      </c>
      <c r="S33" s="110">
        <v>0</v>
      </c>
      <c r="T33" s="28">
        <f t="shared" ref="T33:T76" si="11">IF(R33&gt;0,S33/R33,0)</f>
        <v>0</v>
      </c>
      <c r="U33" s="113">
        <v>0</v>
      </c>
      <c r="V33" s="28">
        <f t="shared" ref="V33:V76" si="12">IF(R33&gt;0,U33/R33,0)</f>
        <v>0</v>
      </c>
      <c r="W33" s="105">
        <v>0</v>
      </c>
      <c r="X33" s="28">
        <f t="shared" ref="X33:X76" si="13">IF(R33&gt;0,W33/R33,0)</f>
        <v>0</v>
      </c>
      <c r="Y33" s="5"/>
      <c r="Z33" s="5"/>
      <c r="AA33" s="5"/>
    </row>
    <row r="34" spans="1:27" ht="54" customHeight="1">
      <c r="A34" s="120" t="s">
        <v>87</v>
      </c>
      <c r="B34" s="33" t="s">
        <v>88</v>
      </c>
      <c r="C34" s="114" t="s">
        <v>50</v>
      </c>
      <c r="D34" s="114" t="s">
        <v>166</v>
      </c>
      <c r="E34" s="33" t="s">
        <v>90</v>
      </c>
      <c r="F34" s="114" t="s">
        <v>170</v>
      </c>
      <c r="G34" s="114" t="s">
        <v>54</v>
      </c>
      <c r="H34" s="114" t="s">
        <v>150</v>
      </c>
      <c r="I34" s="114" t="s">
        <v>161</v>
      </c>
      <c r="J34" s="123">
        <v>4</v>
      </c>
      <c r="K34" s="108">
        <v>0</v>
      </c>
      <c r="L34" s="105">
        <v>3585427.69</v>
      </c>
      <c r="M34" s="105">
        <v>0</v>
      </c>
      <c r="N34" s="26">
        <f t="shared" si="9"/>
        <v>3585427.69</v>
      </c>
      <c r="O34" s="27"/>
      <c r="P34" s="27"/>
      <c r="Q34" s="27"/>
      <c r="R34" s="26">
        <f t="shared" si="10"/>
        <v>3585427.69</v>
      </c>
      <c r="S34" s="110">
        <v>3585427.69</v>
      </c>
      <c r="T34" s="28">
        <f t="shared" si="11"/>
        <v>1</v>
      </c>
      <c r="U34" s="113">
        <v>2875148.15</v>
      </c>
      <c r="V34" s="28">
        <f t="shared" si="12"/>
        <v>0.8018982388123409</v>
      </c>
      <c r="W34" s="105">
        <v>2875148.15</v>
      </c>
      <c r="X34" s="28">
        <f t="shared" si="13"/>
        <v>0.8018982388123409</v>
      </c>
      <c r="Y34" s="5"/>
      <c r="Z34" s="5"/>
      <c r="AA34" s="5"/>
    </row>
    <row r="35" spans="1:27" ht="54" customHeight="1">
      <c r="A35" s="120" t="s">
        <v>87</v>
      </c>
      <c r="B35" s="33" t="s">
        <v>88</v>
      </c>
      <c r="C35" s="114" t="s">
        <v>50</v>
      </c>
      <c r="D35" s="114" t="s">
        <v>181</v>
      </c>
      <c r="E35" s="33" t="s">
        <v>90</v>
      </c>
      <c r="F35" s="114" t="s">
        <v>170</v>
      </c>
      <c r="G35" s="114" t="s">
        <v>54</v>
      </c>
      <c r="H35" s="114" t="s">
        <v>150</v>
      </c>
      <c r="I35" s="114" t="s">
        <v>161</v>
      </c>
      <c r="J35" s="123">
        <v>4</v>
      </c>
      <c r="K35" s="108">
        <v>0</v>
      </c>
      <c r="L35" s="105">
        <v>2127920.88</v>
      </c>
      <c r="M35" s="105">
        <v>0</v>
      </c>
      <c r="N35" s="26">
        <f t="shared" si="9"/>
        <v>2127920.88</v>
      </c>
      <c r="O35" s="27"/>
      <c r="P35" s="27"/>
      <c r="Q35" s="27"/>
      <c r="R35" s="26">
        <f t="shared" si="10"/>
        <v>2127920.88</v>
      </c>
      <c r="S35" s="110">
        <v>1471837.17</v>
      </c>
      <c r="T35" s="28">
        <f t="shared" si="11"/>
        <v>0.69167852237062499</v>
      </c>
      <c r="U35" s="113">
        <v>237452.98</v>
      </c>
      <c r="V35" s="28">
        <f t="shared" si="12"/>
        <v>0.11158919592912685</v>
      </c>
      <c r="W35" s="105">
        <v>237452.98</v>
      </c>
      <c r="X35" s="28">
        <f t="shared" si="13"/>
        <v>0.11158919592912685</v>
      </c>
      <c r="Y35" s="5"/>
      <c r="Z35" s="5"/>
      <c r="AA35" s="5"/>
    </row>
    <row r="36" spans="1:27" ht="54" customHeight="1">
      <c r="A36" s="120" t="s">
        <v>87</v>
      </c>
      <c r="B36" s="33" t="s">
        <v>88</v>
      </c>
      <c r="C36" s="114" t="s">
        <v>50</v>
      </c>
      <c r="D36" s="114" t="s">
        <v>152</v>
      </c>
      <c r="E36" s="33" t="s">
        <v>90</v>
      </c>
      <c r="F36" s="114" t="s">
        <v>170</v>
      </c>
      <c r="G36" s="114" t="s">
        <v>54</v>
      </c>
      <c r="H36" s="114" t="s">
        <v>150</v>
      </c>
      <c r="I36" s="114" t="s">
        <v>161</v>
      </c>
      <c r="J36" s="123">
        <v>4</v>
      </c>
      <c r="K36" s="108">
        <v>0</v>
      </c>
      <c r="L36" s="105">
        <v>36029880.039999999</v>
      </c>
      <c r="M36" s="105">
        <v>0</v>
      </c>
      <c r="N36" s="26">
        <f t="shared" si="9"/>
        <v>36029880.039999999</v>
      </c>
      <c r="O36" s="27"/>
      <c r="P36" s="27"/>
      <c r="Q36" s="27"/>
      <c r="R36" s="26">
        <f t="shared" si="10"/>
        <v>36029880.039999999</v>
      </c>
      <c r="S36" s="110">
        <v>36029880.039999999</v>
      </c>
      <c r="T36" s="28">
        <f t="shared" si="11"/>
        <v>1</v>
      </c>
      <c r="U36" s="113">
        <v>10331889.609999999</v>
      </c>
      <c r="V36" s="28">
        <f t="shared" si="12"/>
        <v>0.28675892338607961</v>
      </c>
      <c r="W36" s="105">
        <v>10331889.609999999</v>
      </c>
      <c r="X36" s="28">
        <f t="shared" si="13"/>
        <v>0.28675892338607961</v>
      </c>
      <c r="Y36" s="5"/>
      <c r="Z36" s="5"/>
      <c r="AA36" s="5"/>
    </row>
    <row r="37" spans="1:27" ht="54" customHeight="1">
      <c r="A37" s="120" t="s">
        <v>87</v>
      </c>
      <c r="B37" s="33" t="s">
        <v>88</v>
      </c>
      <c r="C37" s="114" t="s">
        <v>50</v>
      </c>
      <c r="D37" s="114" t="s">
        <v>152</v>
      </c>
      <c r="E37" s="33" t="s">
        <v>90</v>
      </c>
      <c r="F37" s="114" t="s">
        <v>170</v>
      </c>
      <c r="G37" s="114" t="s">
        <v>54</v>
      </c>
      <c r="H37" s="114" t="s">
        <v>162</v>
      </c>
      <c r="I37" s="114" t="s">
        <v>161</v>
      </c>
      <c r="J37" s="123">
        <v>4</v>
      </c>
      <c r="K37" s="108">
        <v>0</v>
      </c>
      <c r="L37" s="105">
        <v>5328628.04</v>
      </c>
      <c r="M37" s="105">
        <v>0</v>
      </c>
      <c r="N37" s="26">
        <f t="shared" si="9"/>
        <v>5328628.04</v>
      </c>
      <c r="O37" s="27"/>
      <c r="P37" s="27"/>
      <c r="Q37" s="27"/>
      <c r="R37" s="26">
        <f t="shared" si="10"/>
        <v>5328628.04</v>
      </c>
      <c r="S37" s="110">
        <v>1845671.95</v>
      </c>
      <c r="T37" s="28">
        <f t="shared" si="11"/>
        <v>0.34636907214112844</v>
      </c>
      <c r="U37" s="113">
        <v>152500</v>
      </c>
      <c r="V37" s="28">
        <f t="shared" si="12"/>
        <v>2.8618998897134505E-2</v>
      </c>
      <c r="W37" s="105">
        <v>152500</v>
      </c>
      <c r="X37" s="28">
        <f t="shared" si="13"/>
        <v>2.8618998897134505E-2</v>
      </c>
      <c r="Y37" s="5"/>
      <c r="Z37" s="5"/>
      <c r="AA37" s="5"/>
    </row>
    <row r="38" spans="1:27" ht="54" customHeight="1">
      <c r="A38" s="120" t="s">
        <v>87</v>
      </c>
      <c r="B38" s="33" t="s">
        <v>88</v>
      </c>
      <c r="C38" s="114" t="s">
        <v>50</v>
      </c>
      <c r="D38" s="114" t="s">
        <v>100</v>
      </c>
      <c r="E38" s="33" t="s">
        <v>90</v>
      </c>
      <c r="F38" s="114" t="s">
        <v>171</v>
      </c>
      <c r="G38" s="114" t="s">
        <v>54</v>
      </c>
      <c r="H38" s="114" t="s">
        <v>150</v>
      </c>
      <c r="I38" s="114" t="s">
        <v>161</v>
      </c>
      <c r="J38" s="123">
        <v>4</v>
      </c>
      <c r="K38" s="108">
        <v>100000</v>
      </c>
      <c r="L38" s="105">
        <v>0</v>
      </c>
      <c r="M38" s="105">
        <v>0</v>
      </c>
      <c r="N38" s="26">
        <f t="shared" si="9"/>
        <v>100000</v>
      </c>
      <c r="O38" s="27"/>
      <c r="P38" s="27"/>
      <c r="Q38" s="27"/>
      <c r="R38" s="26">
        <f t="shared" si="10"/>
        <v>100000</v>
      </c>
      <c r="S38" s="110">
        <v>68940</v>
      </c>
      <c r="T38" s="28">
        <f t="shared" si="11"/>
        <v>0.68940000000000001</v>
      </c>
      <c r="U38" s="113">
        <v>68940</v>
      </c>
      <c r="V38" s="28">
        <f t="shared" si="12"/>
        <v>0.68940000000000001</v>
      </c>
      <c r="W38" s="105">
        <v>68940</v>
      </c>
      <c r="X38" s="28">
        <f t="shared" si="13"/>
        <v>0.68940000000000001</v>
      </c>
      <c r="Y38" s="5"/>
      <c r="Z38" s="5"/>
      <c r="AA38" s="5"/>
    </row>
    <row r="39" spans="1:27" ht="54" customHeight="1">
      <c r="A39" s="22" t="s">
        <v>87</v>
      </c>
      <c r="B39" s="33" t="s">
        <v>88</v>
      </c>
      <c r="C39" s="33" t="s">
        <v>50</v>
      </c>
      <c r="D39" s="33" t="s">
        <v>51</v>
      </c>
      <c r="E39" s="33" t="s">
        <v>90</v>
      </c>
      <c r="F39" s="114" t="s">
        <v>172</v>
      </c>
      <c r="G39" s="33" t="s">
        <v>54</v>
      </c>
      <c r="H39" s="114" t="s">
        <v>150</v>
      </c>
      <c r="I39" s="114" t="s">
        <v>161</v>
      </c>
      <c r="J39" s="121">
        <v>3</v>
      </c>
      <c r="K39" s="34">
        <f>61151090-K40</f>
        <v>60651090</v>
      </c>
      <c r="L39" s="105">
        <v>3913812.78</v>
      </c>
      <c r="M39" s="105">
        <v>3262612.78</v>
      </c>
      <c r="N39" s="26">
        <f t="shared" si="9"/>
        <v>61302290</v>
      </c>
      <c r="O39" s="26"/>
      <c r="P39" s="26"/>
      <c r="Q39" s="26"/>
      <c r="R39" s="26">
        <f t="shared" si="10"/>
        <v>61302290</v>
      </c>
      <c r="S39" s="34">
        <f>58945970.16-S40</f>
        <v>58447792.769999996</v>
      </c>
      <c r="T39" s="28">
        <f t="shared" si="11"/>
        <v>0.95343571618613265</v>
      </c>
      <c r="U39" s="111">
        <f>47248571.97-U40</f>
        <v>46834054.490000002</v>
      </c>
      <c r="V39" s="28">
        <f t="shared" si="12"/>
        <v>0.76398539907726126</v>
      </c>
      <c r="W39" s="105">
        <f>47047378.48-W40</f>
        <v>46632861</v>
      </c>
      <c r="X39" s="28">
        <f t="shared" si="13"/>
        <v>0.76070340928536273</v>
      </c>
      <c r="Y39" s="5"/>
      <c r="Z39" s="5"/>
      <c r="AA39" s="5"/>
    </row>
    <row r="40" spans="1:27" ht="54" customHeight="1">
      <c r="A40" s="22" t="s">
        <v>87</v>
      </c>
      <c r="B40" s="33" t="s">
        <v>88</v>
      </c>
      <c r="C40" s="33" t="s">
        <v>50</v>
      </c>
      <c r="D40" s="33" t="s">
        <v>51</v>
      </c>
      <c r="E40" s="33" t="s">
        <v>90</v>
      </c>
      <c r="F40" s="114" t="s">
        <v>172</v>
      </c>
      <c r="G40" s="33" t="s">
        <v>54</v>
      </c>
      <c r="H40" s="114" t="s">
        <v>150</v>
      </c>
      <c r="I40" s="114" t="s">
        <v>161</v>
      </c>
      <c r="J40" s="44">
        <v>4</v>
      </c>
      <c r="K40" s="108">
        <v>500000</v>
      </c>
      <c r="L40" s="105">
        <v>0</v>
      </c>
      <c r="M40" s="105">
        <v>0</v>
      </c>
      <c r="N40" s="26">
        <f t="shared" si="9"/>
        <v>500000</v>
      </c>
      <c r="O40" s="26"/>
      <c r="P40" s="26"/>
      <c r="Q40" s="26"/>
      <c r="R40" s="26">
        <f t="shared" si="10"/>
        <v>500000</v>
      </c>
      <c r="S40" s="105">
        <f>104715.9+28304.26+230634+134523.23</f>
        <v>498177.39</v>
      </c>
      <c r="T40" s="28">
        <f t="shared" si="11"/>
        <v>0.99635478</v>
      </c>
      <c r="U40" s="113">
        <f>104715.9+28304.26+230634+50863.32</f>
        <v>414517.48000000004</v>
      </c>
      <c r="V40" s="28">
        <f t="shared" si="12"/>
        <v>0.8290349600000001</v>
      </c>
      <c r="W40" s="105">
        <f>104715.9+28304.26+230634+50863.32</f>
        <v>414517.48000000004</v>
      </c>
      <c r="X40" s="28">
        <f t="shared" si="13"/>
        <v>0.8290349600000001</v>
      </c>
      <c r="Y40" s="5"/>
      <c r="Z40" s="5"/>
      <c r="AA40" s="5"/>
    </row>
    <row r="41" spans="1:27" ht="54" customHeight="1">
      <c r="A41" s="120" t="s">
        <v>87</v>
      </c>
      <c r="B41" s="33" t="s">
        <v>88</v>
      </c>
      <c r="C41" s="114" t="s">
        <v>50</v>
      </c>
      <c r="D41" s="114" t="s">
        <v>51</v>
      </c>
      <c r="E41" s="33" t="s">
        <v>90</v>
      </c>
      <c r="F41" s="114" t="s">
        <v>172</v>
      </c>
      <c r="G41" s="114" t="s">
        <v>54</v>
      </c>
      <c r="H41" s="114" t="s">
        <v>162</v>
      </c>
      <c r="I41" s="114" t="s">
        <v>161</v>
      </c>
      <c r="J41" s="125">
        <v>3</v>
      </c>
      <c r="K41" s="108">
        <v>0</v>
      </c>
      <c r="L41" s="109">
        <f>23317911.45-L42</f>
        <v>19354280.449999999</v>
      </c>
      <c r="M41" s="109">
        <v>2920194.27</v>
      </c>
      <c r="N41" s="26">
        <f t="shared" si="9"/>
        <v>16434086.18</v>
      </c>
      <c r="O41" s="36"/>
      <c r="P41" s="36"/>
      <c r="Q41" s="36"/>
      <c r="R41" s="26">
        <f t="shared" si="10"/>
        <v>16434086.18</v>
      </c>
      <c r="S41" s="109">
        <f>15085801.85-S42</f>
        <v>13772917.41</v>
      </c>
      <c r="T41" s="28">
        <f t="shared" si="11"/>
        <v>0.83807017068958811</v>
      </c>
      <c r="U41" s="111">
        <f>5362149.36-U42</f>
        <v>4374404.12</v>
      </c>
      <c r="V41" s="28">
        <f t="shared" si="12"/>
        <v>0.26617872585599406</v>
      </c>
      <c r="W41" s="109">
        <f>5148381.83-W42</f>
        <v>4160636.59</v>
      </c>
      <c r="X41" s="28">
        <f t="shared" si="13"/>
        <v>0.25317115563525661</v>
      </c>
      <c r="Y41" s="5"/>
      <c r="Z41" s="5"/>
      <c r="AA41" s="5"/>
    </row>
    <row r="42" spans="1:27" ht="54" customHeight="1">
      <c r="A42" s="120" t="s">
        <v>87</v>
      </c>
      <c r="B42" s="33" t="s">
        <v>88</v>
      </c>
      <c r="C42" s="114" t="s">
        <v>50</v>
      </c>
      <c r="D42" s="114" t="s">
        <v>51</v>
      </c>
      <c r="E42" s="33" t="s">
        <v>90</v>
      </c>
      <c r="F42" s="114" t="s">
        <v>172</v>
      </c>
      <c r="G42" s="114" t="s">
        <v>54</v>
      </c>
      <c r="H42" s="114" t="s">
        <v>162</v>
      </c>
      <c r="I42" s="114" t="s">
        <v>161</v>
      </c>
      <c r="J42" s="123">
        <v>4</v>
      </c>
      <c r="K42" s="108">
        <v>0</v>
      </c>
      <c r="L42" s="109">
        <f>3963631</f>
        <v>3963631</v>
      </c>
      <c r="M42" s="109">
        <v>0</v>
      </c>
      <c r="N42" s="26">
        <f t="shared" si="9"/>
        <v>3963631</v>
      </c>
      <c r="O42" s="36"/>
      <c r="P42" s="36"/>
      <c r="Q42" s="36"/>
      <c r="R42" s="26">
        <f t="shared" si="10"/>
        <v>3963631</v>
      </c>
      <c r="S42" s="109">
        <f>80570+490685.24+95986.75+5590+11673.94+120510+503229.78+4638.73</f>
        <v>1312884.44</v>
      </c>
      <c r="T42" s="28">
        <f t="shared" si="11"/>
        <v>0.33123276107185556</v>
      </c>
      <c r="U42" s="113">
        <f>490685.24+120510+376550</f>
        <v>987745.24</v>
      </c>
      <c r="V42" s="28">
        <f t="shared" si="12"/>
        <v>0.24920211795699448</v>
      </c>
      <c r="W42" s="109">
        <f>490685.24+120510+376550</f>
        <v>987745.24</v>
      </c>
      <c r="X42" s="28">
        <f t="shared" si="13"/>
        <v>0.24920211795699448</v>
      </c>
      <c r="Y42" s="5"/>
      <c r="Z42" s="5"/>
      <c r="AA42" s="5"/>
    </row>
    <row r="43" spans="1:27" ht="54" customHeight="1">
      <c r="A43" s="22" t="s">
        <v>87</v>
      </c>
      <c r="B43" s="33" t="s">
        <v>88</v>
      </c>
      <c r="C43" s="33" t="s">
        <v>50</v>
      </c>
      <c r="D43" s="33" t="s">
        <v>57</v>
      </c>
      <c r="E43" s="33" t="s">
        <v>90</v>
      </c>
      <c r="F43" s="33" t="s">
        <v>103</v>
      </c>
      <c r="G43" s="33" t="s">
        <v>54</v>
      </c>
      <c r="H43" s="114" t="s">
        <v>150</v>
      </c>
      <c r="I43" s="114" t="s">
        <v>161</v>
      </c>
      <c r="J43" s="121">
        <v>3</v>
      </c>
      <c r="K43" s="108">
        <v>100000</v>
      </c>
      <c r="L43" s="109">
        <v>0</v>
      </c>
      <c r="M43" s="109">
        <v>100000</v>
      </c>
      <c r="N43" s="36">
        <f t="shared" si="9"/>
        <v>0</v>
      </c>
      <c r="O43" s="36"/>
      <c r="P43" s="36"/>
      <c r="Q43" s="36"/>
      <c r="R43" s="36">
        <f t="shared" si="10"/>
        <v>0</v>
      </c>
      <c r="S43" s="109">
        <v>0</v>
      </c>
      <c r="T43" s="38">
        <f t="shared" si="11"/>
        <v>0</v>
      </c>
      <c r="U43" s="111">
        <v>0</v>
      </c>
      <c r="V43" s="38">
        <f t="shared" si="12"/>
        <v>0</v>
      </c>
      <c r="W43" s="109">
        <v>0</v>
      </c>
      <c r="X43" s="38">
        <f t="shared" si="13"/>
        <v>0</v>
      </c>
      <c r="Y43" s="5"/>
      <c r="Z43" s="5"/>
      <c r="AA43" s="5"/>
    </row>
    <row r="44" spans="1:27" ht="52.5" customHeight="1">
      <c r="A44" s="120" t="s">
        <v>87</v>
      </c>
      <c r="B44" s="33" t="s">
        <v>88</v>
      </c>
      <c r="C44" s="114" t="s">
        <v>50</v>
      </c>
      <c r="D44" s="114" t="s">
        <v>57</v>
      </c>
      <c r="E44" s="33" t="s">
        <v>90</v>
      </c>
      <c r="F44" s="33" t="s">
        <v>103</v>
      </c>
      <c r="G44" s="114" t="s">
        <v>54</v>
      </c>
      <c r="H44" s="114" t="s">
        <v>162</v>
      </c>
      <c r="I44" s="114" t="s">
        <v>161</v>
      </c>
      <c r="J44" s="121">
        <v>3</v>
      </c>
      <c r="K44" s="108">
        <v>0</v>
      </c>
      <c r="L44" s="109">
        <v>10787293</v>
      </c>
      <c r="M44" s="109">
        <v>0</v>
      </c>
      <c r="N44" s="36">
        <f t="shared" si="9"/>
        <v>10787293</v>
      </c>
      <c r="O44" s="36"/>
      <c r="P44" s="36"/>
      <c r="Q44" s="36"/>
      <c r="R44" s="36">
        <f t="shared" si="10"/>
        <v>10787293</v>
      </c>
      <c r="S44" s="110">
        <v>9891429.1300000008</v>
      </c>
      <c r="T44" s="38">
        <f t="shared" si="11"/>
        <v>0.91695192945996751</v>
      </c>
      <c r="U44" s="111">
        <v>8744228.6799999997</v>
      </c>
      <c r="V44" s="38">
        <f t="shared" si="12"/>
        <v>0.81060453998978244</v>
      </c>
      <c r="W44" s="109">
        <v>8744228.6799999997</v>
      </c>
      <c r="X44" s="38">
        <f t="shared" si="13"/>
        <v>0.81060453998978244</v>
      </c>
      <c r="Y44" s="5"/>
      <c r="Z44" s="5"/>
      <c r="AA44" s="5"/>
    </row>
    <row r="45" spans="1:27" ht="63">
      <c r="A45" s="22" t="s">
        <v>87</v>
      </c>
      <c r="B45" s="33" t="s">
        <v>88</v>
      </c>
      <c r="C45" s="33" t="s">
        <v>50</v>
      </c>
      <c r="D45" s="33" t="s">
        <v>105</v>
      </c>
      <c r="E45" s="33" t="s">
        <v>65</v>
      </c>
      <c r="F45" s="114" t="s">
        <v>173</v>
      </c>
      <c r="G45" s="33" t="s">
        <v>54</v>
      </c>
      <c r="H45" s="114" t="s">
        <v>150</v>
      </c>
      <c r="I45" s="114" t="s">
        <v>161</v>
      </c>
      <c r="J45" s="44">
        <v>4</v>
      </c>
      <c r="K45" s="108">
        <v>17334789</v>
      </c>
      <c r="L45" s="109">
        <v>0</v>
      </c>
      <c r="M45" s="109">
        <v>17334789</v>
      </c>
      <c r="N45" s="36">
        <f t="shared" si="9"/>
        <v>0</v>
      </c>
      <c r="O45" s="36"/>
      <c r="P45" s="36"/>
      <c r="Q45" s="36"/>
      <c r="R45" s="36">
        <f t="shared" si="10"/>
        <v>0</v>
      </c>
      <c r="S45" s="110">
        <v>0</v>
      </c>
      <c r="T45" s="38">
        <f t="shared" si="11"/>
        <v>0</v>
      </c>
      <c r="U45" s="113">
        <v>0</v>
      </c>
      <c r="V45" s="38">
        <f t="shared" si="12"/>
        <v>0</v>
      </c>
      <c r="W45" s="109">
        <v>0</v>
      </c>
      <c r="X45" s="38">
        <f t="shared" si="13"/>
        <v>0</v>
      </c>
      <c r="Y45" s="5"/>
      <c r="Z45" s="5"/>
      <c r="AA45" s="5"/>
    </row>
    <row r="46" spans="1:27" ht="63">
      <c r="A46" s="120" t="s">
        <v>87</v>
      </c>
      <c r="B46" s="33" t="s">
        <v>88</v>
      </c>
      <c r="C46" s="114" t="s">
        <v>50</v>
      </c>
      <c r="D46" s="114" t="s">
        <v>155</v>
      </c>
      <c r="E46" s="33" t="s">
        <v>65</v>
      </c>
      <c r="F46" s="114" t="s">
        <v>173</v>
      </c>
      <c r="G46" s="114" t="s">
        <v>54</v>
      </c>
      <c r="H46" s="114" t="s">
        <v>150</v>
      </c>
      <c r="I46" s="114" t="s">
        <v>161</v>
      </c>
      <c r="J46" s="123">
        <v>4</v>
      </c>
      <c r="K46" s="108">
        <v>0</v>
      </c>
      <c r="L46" s="109">
        <v>18427046.23</v>
      </c>
      <c r="M46" s="109">
        <v>0</v>
      </c>
      <c r="N46" s="36">
        <f t="shared" si="9"/>
        <v>18427046.23</v>
      </c>
      <c r="O46" s="36"/>
      <c r="P46" s="36"/>
      <c r="Q46" s="36"/>
      <c r="R46" s="36">
        <f t="shared" si="10"/>
        <v>18427046.23</v>
      </c>
      <c r="S46" s="110">
        <v>18427046.23</v>
      </c>
      <c r="T46" s="38">
        <f t="shared" si="11"/>
        <v>1</v>
      </c>
      <c r="U46" s="113">
        <v>8012054.2300000004</v>
      </c>
      <c r="V46" s="38">
        <f t="shared" si="12"/>
        <v>0.43479861774895001</v>
      </c>
      <c r="W46" s="109">
        <v>8012054.2300000004</v>
      </c>
      <c r="X46" s="38">
        <f t="shared" si="13"/>
        <v>0.43479861774895001</v>
      </c>
      <c r="Y46" s="5"/>
      <c r="Z46" s="5"/>
      <c r="AA46" s="5"/>
    </row>
    <row r="47" spans="1:27" ht="65.25" customHeight="1">
      <c r="A47" s="120" t="s">
        <v>87</v>
      </c>
      <c r="B47" s="33" t="s">
        <v>88</v>
      </c>
      <c r="C47" s="114" t="s">
        <v>50</v>
      </c>
      <c r="D47" s="114" t="s">
        <v>155</v>
      </c>
      <c r="E47" s="33" t="s">
        <v>65</v>
      </c>
      <c r="F47" s="114" t="s">
        <v>173</v>
      </c>
      <c r="G47" s="114" t="s">
        <v>54</v>
      </c>
      <c r="H47" s="114" t="s">
        <v>162</v>
      </c>
      <c r="I47" s="114" t="s">
        <v>161</v>
      </c>
      <c r="J47" s="129">
        <v>3</v>
      </c>
      <c r="K47" s="108">
        <v>0</v>
      </c>
      <c r="L47" s="109">
        <v>39223.199999999997</v>
      </c>
      <c r="M47" s="109"/>
      <c r="N47" s="36">
        <f t="shared" si="9"/>
        <v>39223.199999999997</v>
      </c>
      <c r="O47" s="36"/>
      <c r="P47" s="36"/>
      <c r="Q47" s="36"/>
      <c r="R47" s="36">
        <f t="shared" si="10"/>
        <v>39223.199999999997</v>
      </c>
      <c r="S47" s="110">
        <f>39223.2</f>
        <v>39223.199999999997</v>
      </c>
      <c r="T47" s="38">
        <f t="shared" si="11"/>
        <v>1</v>
      </c>
      <c r="U47" s="132">
        <v>39223.199999999997</v>
      </c>
      <c r="V47" s="38">
        <f t="shared" si="12"/>
        <v>1</v>
      </c>
      <c r="W47" s="109">
        <v>39223.199999999997</v>
      </c>
      <c r="X47" s="38">
        <f t="shared" si="13"/>
        <v>1</v>
      </c>
      <c r="Y47" s="5"/>
      <c r="Z47" s="5"/>
      <c r="AA47" s="5"/>
    </row>
    <row r="48" spans="1:27" ht="65.25" customHeight="1">
      <c r="A48" s="120" t="s">
        <v>87</v>
      </c>
      <c r="B48" s="33" t="s">
        <v>88</v>
      </c>
      <c r="C48" s="114" t="s">
        <v>50</v>
      </c>
      <c r="D48" s="114" t="s">
        <v>155</v>
      </c>
      <c r="E48" s="33" t="s">
        <v>65</v>
      </c>
      <c r="F48" s="114" t="s">
        <v>173</v>
      </c>
      <c r="G48" s="114" t="s">
        <v>54</v>
      </c>
      <c r="H48" s="114" t="s">
        <v>162</v>
      </c>
      <c r="I48" s="114" t="s">
        <v>161</v>
      </c>
      <c r="J48" s="123">
        <v>4</v>
      </c>
      <c r="K48" s="108">
        <v>0</v>
      </c>
      <c r="L48" s="109">
        <v>3134266.5</v>
      </c>
      <c r="M48" s="109"/>
      <c r="N48" s="36">
        <f t="shared" si="9"/>
        <v>3134266.5</v>
      </c>
      <c r="O48" s="36"/>
      <c r="P48" s="36"/>
      <c r="Q48" s="36"/>
      <c r="R48" s="36">
        <f t="shared" si="10"/>
        <v>3134266.5</v>
      </c>
      <c r="S48" s="110">
        <v>387314.98</v>
      </c>
      <c r="T48" s="38">
        <f t="shared" si="11"/>
        <v>0.12357436101875829</v>
      </c>
      <c r="U48" s="113">
        <v>0</v>
      </c>
      <c r="V48" s="38">
        <f t="shared" si="12"/>
        <v>0</v>
      </c>
      <c r="W48" s="109">
        <v>0</v>
      </c>
      <c r="X48" s="38">
        <f t="shared" si="13"/>
        <v>0</v>
      </c>
      <c r="Y48" s="5"/>
      <c r="Z48" s="5"/>
      <c r="AA48" s="5"/>
    </row>
    <row r="49" spans="1:27" ht="63">
      <c r="A49" s="22" t="s">
        <v>87</v>
      </c>
      <c r="B49" s="33" t="s">
        <v>88</v>
      </c>
      <c r="C49" s="33" t="s">
        <v>50</v>
      </c>
      <c r="D49" s="114" t="s">
        <v>107</v>
      </c>
      <c r="E49" s="33" t="s">
        <v>65</v>
      </c>
      <c r="F49" s="114" t="s">
        <v>174</v>
      </c>
      <c r="G49" s="33" t="s">
        <v>54</v>
      </c>
      <c r="H49" s="114" t="s">
        <v>150</v>
      </c>
      <c r="I49" s="114" t="s">
        <v>161</v>
      </c>
      <c r="J49" s="123">
        <v>4</v>
      </c>
      <c r="K49" s="108">
        <v>50000</v>
      </c>
      <c r="L49" s="109">
        <v>0</v>
      </c>
      <c r="M49" s="109">
        <v>0</v>
      </c>
      <c r="N49" s="36">
        <f t="shared" si="9"/>
        <v>50000</v>
      </c>
      <c r="O49" s="36"/>
      <c r="P49" s="36"/>
      <c r="Q49" s="36"/>
      <c r="R49" s="36">
        <f t="shared" si="10"/>
        <v>50000</v>
      </c>
      <c r="S49" s="110">
        <v>0</v>
      </c>
      <c r="T49" s="38">
        <f t="shared" si="11"/>
        <v>0</v>
      </c>
      <c r="U49" s="113">
        <v>0</v>
      </c>
      <c r="V49" s="38">
        <f t="shared" si="12"/>
        <v>0</v>
      </c>
      <c r="W49" s="109">
        <v>0</v>
      </c>
      <c r="X49" s="38">
        <f t="shared" si="13"/>
        <v>0</v>
      </c>
      <c r="Y49" s="5"/>
      <c r="Z49" s="5"/>
      <c r="AA49" s="5"/>
    </row>
    <row r="50" spans="1:27" ht="63">
      <c r="A50" s="22" t="s">
        <v>87</v>
      </c>
      <c r="B50" s="33" t="s">
        <v>88</v>
      </c>
      <c r="C50" s="33" t="s">
        <v>50</v>
      </c>
      <c r="D50" s="114" t="s">
        <v>107</v>
      </c>
      <c r="E50" s="33" t="s">
        <v>65</v>
      </c>
      <c r="F50" s="114" t="s">
        <v>174</v>
      </c>
      <c r="G50" s="33" t="s">
        <v>54</v>
      </c>
      <c r="H50" s="114" t="s">
        <v>162</v>
      </c>
      <c r="I50" s="114" t="s">
        <v>161</v>
      </c>
      <c r="J50" s="121">
        <v>3</v>
      </c>
      <c r="K50" s="108">
        <v>0</v>
      </c>
      <c r="L50" s="109">
        <v>70934</v>
      </c>
      <c r="M50" s="109">
        <v>0</v>
      </c>
      <c r="N50" s="36">
        <f t="shared" si="9"/>
        <v>70934</v>
      </c>
      <c r="O50" s="36"/>
      <c r="P50" s="36"/>
      <c r="Q50" s="36"/>
      <c r="R50" s="36">
        <f t="shared" si="10"/>
        <v>70934</v>
      </c>
      <c r="S50" s="110">
        <v>60320</v>
      </c>
      <c r="T50" s="38">
        <f t="shared" si="11"/>
        <v>0.85036794766966473</v>
      </c>
      <c r="U50" s="132">
        <v>0</v>
      </c>
      <c r="V50" s="38">
        <f t="shared" si="12"/>
        <v>0</v>
      </c>
      <c r="W50" s="109">
        <v>0</v>
      </c>
      <c r="X50" s="38">
        <f t="shared" si="13"/>
        <v>0</v>
      </c>
      <c r="Y50" s="5"/>
      <c r="Z50" s="5"/>
      <c r="AA50" s="5"/>
    </row>
    <row r="51" spans="1:27" ht="63">
      <c r="A51" s="22" t="s">
        <v>87</v>
      </c>
      <c r="B51" s="33" t="s">
        <v>88</v>
      </c>
      <c r="C51" s="33" t="s">
        <v>50</v>
      </c>
      <c r="D51" s="114" t="s">
        <v>175</v>
      </c>
      <c r="E51" s="33" t="s">
        <v>65</v>
      </c>
      <c r="F51" s="114" t="s">
        <v>176</v>
      </c>
      <c r="G51" s="33" t="s">
        <v>54</v>
      </c>
      <c r="H51" s="114" t="s">
        <v>150</v>
      </c>
      <c r="I51" s="114" t="s">
        <v>161</v>
      </c>
      <c r="J51" s="121">
        <v>3</v>
      </c>
      <c r="K51" s="108">
        <v>750000</v>
      </c>
      <c r="L51" s="109">
        <v>329800</v>
      </c>
      <c r="M51" s="109">
        <v>0</v>
      </c>
      <c r="N51" s="36">
        <f t="shared" si="9"/>
        <v>1079800</v>
      </c>
      <c r="O51" s="36"/>
      <c r="P51" s="36"/>
      <c r="Q51" s="36"/>
      <c r="R51" s="36">
        <f t="shared" si="10"/>
        <v>1079800</v>
      </c>
      <c r="S51" s="110">
        <v>824500</v>
      </c>
      <c r="T51" s="38">
        <f t="shared" si="11"/>
        <v>0.76356732728283017</v>
      </c>
      <c r="U51" s="132">
        <v>0</v>
      </c>
      <c r="V51" s="38">
        <f t="shared" si="12"/>
        <v>0</v>
      </c>
      <c r="W51" s="109">
        <v>0</v>
      </c>
      <c r="X51" s="38">
        <f t="shared" si="13"/>
        <v>0</v>
      </c>
      <c r="Y51" s="5"/>
      <c r="Z51" s="5"/>
      <c r="AA51" s="5"/>
    </row>
    <row r="52" spans="1:27" ht="63">
      <c r="A52" s="22" t="s">
        <v>87</v>
      </c>
      <c r="B52" s="33" t="s">
        <v>88</v>
      </c>
      <c r="C52" s="33" t="s">
        <v>50</v>
      </c>
      <c r="D52" s="33" t="s">
        <v>64</v>
      </c>
      <c r="E52" s="33" t="s">
        <v>65</v>
      </c>
      <c r="F52" s="33" t="s">
        <v>66</v>
      </c>
      <c r="G52" s="33" t="s">
        <v>54</v>
      </c>
      <c r="H52" s="114" t="s">
        <v>150</v>
      </c>
      <c r="I52" s="114" t="s">
        <v>161</v>
      </c>
      <c r="J52" s="121">
        <v>3</v>
      </c>
      <c r="K52" s="108">
        <v>50000</v>
      </c>
      <c r="L52" s="105">
        <v>0</v>
      </c>
      <c r="M52" s="105">
        <v>50000</v>
      </c>
      <c r="N52" s="26">
        <f t="shared" si="9"/>
        <v>0</v>
      </c>
      <c r="O52" s="26"/>
      <c r="P52" s="26"/>
      <c r="Q52" s="26"/>
      <c r="R52" s="26">
        <f t="shared" si="10"/>
        <v>0</v>
      </c>
      <c r="S52" s="110">
        <v>0</v>
      </c>
      <c r="T52" s="28">
        <f t="shared" si="11"/>
        <v>0</v>
      </c>
      <c r="U52" s="111">
        <v>0</v>
      </c>
      <c r="V52" s="28">
        <f t="shared" si="12"/>
        <v>0</v>
      </c>
      <c r="W52" s="105">
        <v>0</v>
      </c>
      <c r="X52" s="28">
        <f t="shared" si="13"/>
        <v>0</v>
      </c>
      <c r="Y52" s="5"/>
      <c r="Z52" s="5"/>
      <c r="AA52" s="5"/>
    </row>
    <row r="53" spans="1:27" ht="69.75" customHeight="1">
      <c r="A53" s="120" t="s">
        <v>87</v>
      </c>
      <c r="B53" s="33" t="s">
        <v>88</v>
      </c>
      <c r="C53" s="114" t="s">
        <v>50</v>
      </c>
      <c r="D53" s="114" t="s">
        <v>64</v>
      </c>
      <c r="E53" s="33" t="s">
        <v>65</v>
      </c>
      <c r="F53" s="33" t="s">
        <v>66</v>
      </c>
      <c r="G53" s="114" t="s">
        <v>54</v>
      </c>
      <c r="H53" s="114" t="s">
        <v>162</v>
      </c>
      <c r="I53" s="114" t="s">
        <v>161</v>
      </c>
      <c r="J53" s="125">
        <v>3</v>
      </c>
      <c r="K53" s="108">
        <v>0</v>
      </c>
      <c r="L53" s="105">
        <v>662060</v>
      </c>
      <c r="M53" s="105">
        <v>0</v>
      </c>
      <c r="N53" s="26">
        <f t="shared" si="9"/>
        <v>662060</v>
      </c>
      <c r="O53" s="26"/>
      <c r="P53" s="26"/>
      <c r="Q53" s="26"/>
      <c r="R53" s="26">
        <f t="shared" si="10"/>
        <v>662060</v>
      </c>
      <c r="S53" s="131">
        <v>594981.24</v>
      </c>
      <c r="T53" s="28">
        <f t="shared" si="11"/>
        <v>0.89868175089871005</v>
      </c>
      <c r="U53" s="111">
        <v>535433.68999999994</v>
      </c>
      <c r="V53" s="28">
        <f t="shared" si="12"/>
        <v>0.80873892094372102</v>
      </c>
      <c r="W53" s="105">
        <v>535433.68999999994</v>
      </c>
      <c r="X53" s="28">
        <f t="shared" si="13"/>
        <v>0.80873892094372102</v>
      </c>
      <c r="Y53" s="5"/>
      <c r="Z53" s="5"/>
      <c r="AA53" s="5"/>
    </row>
    <row r="54" spans="1:27" ht="63">
      <c r="A54" s="22" t="s">
        <v>87</v>
      </c>
      <c r="B54" s="33" t="s">
        <v>88</v>
      </c>
      <c r="C54" s="33" t="s">
        <v>50</v>
      </c>
      <c r="D54" s="33" t="s">
        <v>113</v>
      </c>
      <c r="E54" s="33" t="s">
        <v>65</v>
      </c>
      <c r="F54" s="114" t="s">
        <v>168</v>
      </c>
      <c r="G54" s="33" t="s">
        <v>54</v>
      </c>
      <c r="H54" s="114" t="s">
        <v>150</v>
      </c>
      <c r="I54" s="114" t="s">
        <v>161</v>
      </c>
      <c r="J54" s="121">
        <v>3</v>
      </c>
      <c r="K54" s="108">
        <f>37007920-K55</f>
        <v>36751090</v>
      </c>
      <c r="L54" s="105">
        <v>8883956.8300000001</v>
      </c>
      <c r="M54" s="105">
        <v>1435021.83</v>
      </c>
      <c r="N54" s="26">
        <f t="shared" si="9"/>
        <v>44200025</v>
      </c>
      <c r="O54" s="26"/>
      <c r="P54" s="26"/>
      <c r="Q54" s="26"/>
      <c r="R54" s="26">
        <f t="shared" si="10"/>
        <v>44200025</v>
      </c>
      <c r="S54" s="105">
        <f>44138614.74-S55</f>
        <v>43884101.080000006</v>
      </c>
      <c r="T54" s="28">
        <f t="shared" si="11"/>
        <v>0.99285240404275799</v>
      </c>
      <c r="U54" s="111">
        <f>40058045.62-U55</f>
        <v>39803531.960000001</v>
      </c>
      <c r="V54" s="28">
        <f t="shared" si="12"/>
        <v>0.90053188793445249</v>
      </c>
      <c r="W54" s="105">
        <f>39888911.07-W55</f>
        <v>39634397.410000004</v>
      </c>
      <c r="X54" s="28">
        <f t="shared" si="13"/>
        <v>0.89670531656939112</v>
      </c>
      <c r="Y54" s="5"/>
      <c r="Z54" s="5"/>
      <c r="AA54" s="5"/>
    </row>
    <row r="55" spans="1:27" ht="63">
      <c r="A55" s="22" t="s">
        <v>87</v>
      </c>
      <c r="B55" s="33" t="s">
        <v>88</v>
      </c>
      <c r="C55" s="33" t="s">
        <v>50</v>
      </c>
      <c r="D55" s="33" t="s">
        <v>113</v>
      </c>
      <c r="E55" s="33" t="s">
        <v>65</v>
      </c>
      <c r="F55" s="114" t="s">
        <v>168</v>
      </c>
      <c r="G55" s="33" t="s">
        <v>54</v>
      </c>
      <c r="H55" s="114" t="s">
        <v>150</v>
      </c>
      <c r="I55" s="114" t="s">
        <v>161</v>
      </c>
      <c r="J55" s="44">
        <v>4</v>
      </c>
      <c r="K55" s="108">
        <f>256830</f>
        <v>256830</v>
      </c>
      <c r="L55" s="105">
        <v>0</v>
      </c>
      <c r="M55" s="105">
        <v>0</v>
      </c>
      <c r="N55" s="26">
        <f t="shared" si="9"/>
        <v>256830</v>
      </c>
      <c r="O55" s="26"/>
      <c r="P55" s="26"/>
      <c r="Q55" s="26"/>
      <c r="R55" s="26">
        <f t="shared" si="10"/>
        <v>256830</v>
      </c>
      <c r="S55" s="105">
        <f>1210+7900+7213.12+43395.64+194794.9</f>
        <v>254513.65999999997</v>
      </c>
      <c r="T55" s="28">
        <f t="shared" si="11"/>
        <v>0.99098103804072724</v>
      </c>
      <c r="U55" s="113">
        <f>1210+7900+7213.12+43395.64+194794.9</f>
        <v>254513.65999999997</v>
      </c>
      <c r="V55" s="28">
        <f t="shared" si="12"/>
        <v>0.99098103804072724</v>
      </c>
      <c r="W55" s="105">
        <f>1210+7900+7213.12+43395.64+194794.9</f>
        <v>254513.65999999997</v>
      </c>
      <c r="X55" s="28">
        <f t="shared" si="13"/>
        <v>0.99098103804072724</v>
      </c>
      <c r="Y55" s="5"/>
      <c r="Z55" s="5"/>
      <c r="AA55" s="5"/>
    </row>
    <row r="56" spans="1:27" ht="63" customHeight="1">
      <c r="A56" s="120" t="s">
        <v>87</v>
      </c>
      <c r="B56" s="33" t="s">
        <v>88</v>
      </c>
      <c r="C56" s="104" t="s">
        <v>50</v>
      </c>
      <c r="D56" s="104" t="s">
        <v>113</v>
      </c>
      <c r="E56" s="33" t="s">
        <v>65</v>
      </c>
      <c r="F56" s="114" t="s">
        <v>168</v>
      </c>
      <c r="G56" s="104" t="s">
        <v>54</v>
      </c>
      <c r="H56" s="104" t="s">
        <v>162</v>
      </c>
      <c r="I56" s="114" t="s">
        <v>161</v>
      </c>
      <c r="J56" s="125">
        <v>3</v>
      </c>
      <c r="K56" s="108">
        <v>0</v>
      </c>
      <c r="L56" s="105">
        <f>12557261.08-L57</f>
        <v>12515479.08</v>
      </c>
      <c r="M56" s="105">
        <v>945236</v>
      </c>
      <c r="N56" s="26">
        <f t="shared" si="9"/>
        <v>11570243.08</v>
      </c>
      <c r="O56" s="26"/>
      <c r="P56" s="26"/>
      <c r="Q56" s="26"/>
      <c r="R56" s="26">
        <f t="shared" si="10"/>
        <v>11570243.08</v>
      </c>
      <c r="S56" s="109">
        <f>7438318.07-S57</f>
        <v>7398082.0700000003</v>
      </c>
      <c r="T56" s="28">
        <f t="shared" si="11"/>
        <v>0.63940593286135183</v>
      </c>
      <c r="U56" s="111">
        <f>3596235.36-U57</f>
        <v>3569147.36</v>
      </c>
      <c r="V56" s="28">
        <f t="shared" si="12"/>
        <v>0.30847643695312926</v>
      </c>
      <c r="W56" s="105">
        <f>3592856.23-W57</f>
        <v>3565768.23</v>
      </c>
      <c r="X56" s="28">
        <f t="shared" si="13"/>
        <v>0.30818438345203719</v>
      </c>
      <c r="Y56" s="5"/>
      <c r="Z56" s="5"/>
      <c r="AA56" s="5"/>
    </row>
    <row r="57" spans="1:27" ht="63" customHeight="1">
      <c r="A57" s="120" t="s">
        <v>87</v>
      </c>
      <c r="B57" s="33" t="s">
        <v>88</v>
      </c>
      <c r="C57" s="104" t="s">
        <v>50</v>
      </c>
      <c r="D57" s="104" t="s">
        <v>113</v>
      </c>
      <c r="E57" s="33" t="s">
        <v>65</v>
      </c>
      <c r="F57" s="114" t="s">
        <v>168</v>
      </c>
      <c r="G57" s="104" t="s">
        <v>54</v>
      </c>
      <c r="H57" s="104" t="s">
        <v>162</v>
      </c>
      <c r="I57" s="114" t="s">
        <v>161</v>
      </c>
      <c r="J57" s="44">
        <v>4</v>
      </c>
      <c r="K57" s="108">
        <v>0</v>
      </c>
      <c r="L57" s="105">
        <f>41782</f>
        <v>41782</v>
      </c>
      <c r="M57" s="105">
        <v>0</v>
      </c>
      <c r="N57" s="26">
        <f t="shared" si="9"/>
        <v>41782</v>
      </c>
      <c r="O57" s="26"/>
      <c r="P57" s="26"/>
      <c r="Q57" s="26"/>
      <c r="R57" s="26">
        <f t="shared" si="10"/>
        <v>41782</v>
      </c>
      <c r="S57" s="109">
        <f>2148+28045+10043</f>
        <v>40236</v>
      </c>
      <c r="T57" s="28">
        <f t="shared" si="11"/>
        <v>0.96299842037240913</v>
      </c>
      <c r="U57" s="113">
        <f>19845+7243</f>
        <v>27088</v>
      </c>
      <c r="V57" s="28">
        <f t="shared" si="12"/>
        <v>0.64831745727825374</v>
      </c>
      <c r="W57" s="105">
        <f>19845+7243</f>
        <v>27088</v>
      </c>
      <c r="X57" s="28">
        <f t="shared" si="13"/>
        <v>0.64831745727825374</v>
      </c>
      <c r="Y57" s="5"/>
      <c r="Z57" s="5"/>
      <c r="AA57" s="5"/>
    </row>
    <row r="58" spans="1:27" ht="63" customHeight="1">
      <c r="A58" s="120" t="s">
        <v>87</v>
      </c>
      <c r="B58" s="33" t="s">
        <v>88</v>
      </c>
      <c r="C58" s="104" t="s">
        <v>50</v>
      </c>
      <c r="D58" s="104" t="s">
        <v>113</v>
      </c>
      <c r="E58" s="33" t="s">
        <v>65</v>
      </c>
      <c r="F58" s="114" t="s">
        <v>168</v>
      </c>
      <c r="G58" s="104" t="s">
        <v>54</v>
      </c>
      <c r="H58" s="104" t="s">
        <v>164</v>
      </c>
      <c r="I58" s="114" t="s">
        <v>161</v>
      </c>
      <c r="J58" s="125">
        <v>3</v>
      </c>
      <c r="K58" s="108">
        <v>0</v>
      </c>
      <c r="L58" s="105">
        <v>161</v>
      </c>
      <c r="M58" s="105">
        <v>0</v>
      </c>
      <c r="N58" s="26">
        <f t="shared" si="9"/>
        <v>161</v>
      </c>
      <c r="O58" s="26"/>
      <c r="P58" s="26"/>
      <c r="Q58" s="26"/>
      <c r="R58" s="26">
        <f t="shared" si="10"/>
        <v>161</v>
      </c>
      <c r="S58" s="109">
        <v>0</v>
      </c>
      <c r="T58" s="28">
        <f t="shared" si="11"/>
        <v>0</v>
      </c>
      <c r="U58" s="111">
        <v>0</v>
      </c>
      <c r="V58" s="28">
        <f t="shared" si="12"/>
        <v>0</v>
      </c>
      <c r="W58" s="105">
        <v>0</v>
      </c>
      <c r="X58" s="28">
        <f t="shared" si="13"/>
        <v>0</v>
      </c>
      <c r="Y58" s="5"/>
      <c r="Z58" s="5"/>
      <c r="AA58" s="5"/>
    </row>
    <row r="59" spans="1:27" ht="63" customHeight="1">
      <c r="A59" s="120" t="s">
        <v>87</v>
      </c>
      <c r="B59" s="104" t="s">
        <v>88</v>
      </c>
      <c r="C59" s="104" t="s">
        <v>50</v>
      </c>
      <c r="D59" s="104" t="s">
        <v>116</v>
      </c>
      <c r="E59" s="33" t="s">
        <v>65</v>
      </c>
      <c r="F59" s="104" t="s">
        <v>177</v>
      </c>
      <c r="G59" s="104" t="s">
        <v>54</v>
      </c>
      <c r="H59" s="104" t="s">
        <v>150</v>
      </c>
      <c r="I59" s="114" t="s">
        <v>161</v>
      </c>
      <c r="J59" s="125">
        <v>3</v>
      </c>
      <c r="K59" s="108">
        <v>960000</v>
      </c>
      <c r="L59" s="105">
        <v>70000</v>
      </c>
      <c r="M59" s="105">
        <v>70000</v>
      </c>
      <c r="N59" s="26">
        <f t="shared" si="9"/>
        <v>960000</v>
      </c>
      <c r="O59" s="26"/>
      <c r="P59" s="26"/>
      <c r="Q59" s="26"/>
      <c r="R59" s="26">
        <f t="shared" si="10"/>
        <v>960000</v>
      </c>
      <c r="S59" s="109">
        <v>880319.54</v>
      </c>
      <c r="T59" s="28">
        <f t="shared" si="11"/>
        <v>0.91699952083333336</v>
      </c>
      <c r="U59" s="111">
        <v>880319.54</v>
      </c>
      <c r="V59" s="28">
        <f t="shared" si="12"/>
        <v>0.91699952083333336</v>
      </c>
      <c r="W59" s="105">
        <v>859396.67</v>
      </c>
      <c r="X59" s="28">
        <f t="shared" si="13"/>
        <v>0.89520486458333337</v>
      </c>
      <c r="Y59" s="5"/>
      <c r="Z59" s="5"/>
      <c r="AA59" s="5"/>
    </row>
    <row r="60" spans="1:27" ht="63" customHeight="1">
      <c r="A60" s="120" t="s">
        <v>87</v>
      </c>
      <c r="B60" s="104" t="s">
        <v>88</v>
      </c>
      <c r="C60" s="104" t="s">
        <v>50</v>
      </c>
      <c r="D60" s="104" t="s">
        <v>116</v>
      </c>
      <c r="E60" s="33" t="s">
        <v>65</v>
      </c>
      <c r="F60" s="104" t="s">
        <v>177</v>
      </c>
      <c r="G60" s="104" t="s">
        <v>54</v>
      </c>
      <c r="H60" s="104" t="s">
        <v>162</v>
      </c>
      <c r="I60" s="114" t="s">
        <v>161</v>
      </c>
      <c r="J60" s="125">
        <v>3</v>
      </c>
      <c r="K60" s="108">
        <v>0</v>
      </c>
      <c r="L60" s="105">
        <v>650000</v>
      </c>
      <c r="M60" s="105">
        <v>0</v>
      </c>
      <c r="N60" s="26">
        <f t="shared" si="9"/>
        <v>650000</v>
      </c>
      <c r="O60" s="26"/>
      <c r="P60" s="26"/>
      <c r="Q60" s="26"/>
      <c r="R60" s="26">
        <f t="shared" si="10"/>
        <v>650000</v>
      </c>
      <c r="S60" s="109">
        <v>313129.42</v>
      </c>
      <c r="T60" s="28">
        <f t="shared" si="11"/>
        <v>0.48173756923076921</v>
      </c>
      <c r="U60" s="111">
        <v>313129.42</v>
      </c>
      <c r="V60" s="28">
        <f t="shared" si="12"/>
        <v>0.48173756923076921</v>
      </c>
      <c r="W60" s="105">
        <v>313129.42</v>
      </c>
      <c r="X60" s="28">
        <f t="shared" si="13"/>
        <v>0.48173756923076921</v>
      </c>
      <c r="Y60" s="5"/>
      <c r="Z60" s="5"/>
      <c r="AA60" s="5"/>
    </row>
    <row r="61" spans="1:27" ht="63" customHeight="1">
      <c r="A61" s="22" t="s">
        <v>87</v>
      </c>
      <c r="B61" s="23" t="s">
        <v>88</v>
      </c>
      <c r="C61" s="23" t="s">
        <v>50</v>
      </c>
      <c r="D61" s="23" t="s">
        <v>71</v>
      </c>
      <c r="E61" s="33" t="s">
        <v>65</v>
      </c>
      <c r="F61" s="23" t="s">
        <v>72</v>
      </c>
      <c r="G61" s="23" t="s">
        <v>54</v>
      </c>
      <c r="H61" s="104" t="s">
        <v>150</v>
      </c>
      <c r="I61" s="114" t="s">
        <v>161</v>
      </c>
      <c r="J61" s="121">
        <v>3</v>
      </c>
      <c r="K61" s="108">
        <v>50000</v>
      </c>
      <c r="L61" s="105">
        <v>0</v>
      </c>
      <c r="M61" s="105">
        <v>50000</v>
      </c>
      <c r="N61" s="26">
        <f t="shared" si="9"/>
        <v>0</v>
      </c>
      <c r="O61" s="26"/>
      <c r="P61" s="26"/>
      <c r="Q61" s="26"/>
      <c r="R61" s="26">
        <f t="shared" si="10"/>
        <v>0</v>
      </c>
      <c r="S61" s="109">
        <v>0</v>
      </c>
      <c r="T61" s="28">
        <f t="shared" si="11"/>
        <v>0</v>
      </c>
      <c r="U61" s="111">
        <v>0</v>
      </c>
      <c r="V61" s="28">
        <f t="shared" si="12"/>
        <v>0</v>
      </c>
      <c r="W61" s="105">
        <v>0</v>
      </c>
      <c r="X61" s="28">
        <f t="shared" si="13"/>
        <v>0</v>
      </c>
      <c r="Y61" s="5"/>
      <c r="Z61" s="5"/>
      <c r="AA61" s="5"/>
    </row>
    <row r="62" spans="1:27" ht="63" customHeight="1">
      <c r="A62" s="120" t="s">
        <v>87</v>
      </c>
      <c r="B62" s="23" t="s">
        <v>88</v>
      </c>
      <c r="C62" s="114" t="s">
        <v>50</v>
      </c>
      <c r="D62" s="114" t="s">
        <v>182</v>
      </c>
      <c r="E62" s="33" t="s">
        <v>65</v>
      </c>
      <c r="F62" s="23" t="s">
        <v>72</v>
      </c>
      <c r="G62" s="114" t="s">
        <v>54</v>
      </c>
      <c r="H62" s="114" t="s">
        <v>162</v>
      </c>
      <c r="I62" s="114" t="s">
        <v>161</v>
      </c>
      <c r="J62" s="125">
        <v>3</v>
      </c>
      <c r="K62" s="108">
        <v>0</v>
      </c>
      <c r="L62" s="109">
        <v>148835</v>
      </c>
      <c r="M62" s="109">
        <v>0</v>
      </c>
      <c r="N62" s="26">
        <f t="shared" si="9"/>
        <v>148835</v>
      </c>
      <c r="O62" s="36"/>
      <c r="P62" s="36"/>
      <c r="Q62" s="36"/>
      <c r="R62" s="26">
        <f t="shared" si="10"/>
        <v>148835</v>
      </c>
      <c r="S62" s="109">
        <v>121494.66</v>
      </c>
      <c r="T62" s="28">
        <f t="shared" si="11"/>
        <v>0.81630436389290151</v>
      </c>
      <c r="U62" s="111">
        <v>98981.78</v>
      </c>
      <c r="V62" s="28">
        <f t="shared" si="12"/>
        <v>0.66504370611751262</v>
      </c>
      <c r="W62" s="109">
        <v>98981.78</v>
      </c>
      <c r="X62" s="28">
        <f t="shared" si="13"/>
        <v>0.66504370611751262</v>
      </c>
      <c r="Y62" s="5"/>
      <c r="Z62" s="5"/>
      <c r="AA62" s="5"/>
    </row>
    <row r="63" spans="1:27" ht="63" customHeight="1">
      <c r="A63" s="22" t="s">
        <v>87</v>
      </c>
      <c r="B63" s="33" t="s">
        <v>88</v>
      </c>
      <c r="C63" s="33" t="s">
        <v>118</v>
      </c>
      <c r="D63" s="33" t="s">
        <v>119</v>
      </c>
      <c r="E63" s="114" t="s">
        <v>90</v>
      </c>
      <c r="F63" s="114" t="s">
        <v>178</v>
      </c>
      <c r="G63" s="33" t="s">
        <v>54</v>
      </c>
      <c r="H63" s="114" t="s">
        <v>150</v>
      </c>
      <c r="I63" s="114" t="s">
        <v>161</v>
      </c>
      <c r="J63" s="121">
        <v>3</v>
      </c>
      <c r="K63" s="108">
        <f>16951090-K64</f>
        <v>15951090</v>
      </c>
      <c r="L63" s="109">
        <f>435109.99-L64</f>
        <v>85109.989999999991</v>
      </c>
      <c r="M63" s="109">
        <v>685109.99</v>
      </c>
      <c r="N63" s="36">
        <f t="shared" si="9"/>
        <v>15351090</v>
      </c>
      <c r="O63" s="36"/>
      <c r="P63" s="36"/>
      <c r="Q63" s="36"/>
      <c r="R63" s="36">
        <f t="shared" si="10"/>
        <v>15351090</v>
      </c>
      <c r="S63" s="109">
        <f>15912682.76-S64</f>
        <v>15066935.73</v>
      </c>
      <c r="T63" s="38">
        <f t="shared" si="11"/>
        <v>0.98148963558939462</v>
      </c>
      <c r="U63" s="111">
        <f>11956118.69-U64</f>
        <v>11110371.66</v>
      </c>
      <c r="V63" s="38">
        <f t="shared" si="12"/>
        <v>0.72375132059026426</v>
      </c>
      <c r="W63" s="109">
        <f>11954286.04-W64</f>
        <v>11108539.01</v>
      </c>
      <c r="X63" s="38">
        <f t="shared" si="13"/>
        <v>0.72363193818810256</v>
      </c>
      <c r="Y63" s="5"/>
      <c r="Z63" s="5"/>
      <c r="AA63" s="5"/>
    </row>
    <row r="64" spans="1:27" ht="63" customHeight="1">
      <c r="A64" s="22" t="s">
        <v>87</v>
      </c>
      <c r="B64" s="23" t="s">
        <v>88</v>
      </c>
      <c r="C64" s="23" t="s">
        <v>118</v>
      </c>
      <c r="D64" s="23" t="s">
        <v>119</v>
      </c>
      <c r="E64" s="114" t="s">
        <v>90</v>
      </c>
      <c r="F64" s="114" t="s">
        <v>178</v>
      </c>
      <c r="G64" s="23" t="s">
        <v>54</v>
      </c>
      <c r="H64" s="104" t="s">
        <v>150</v>
      </c>
      <c r="I64" s="114" t="s">
        <v>161</v>
      </c>
      <c r="J64" s="44">
        <v>4</v>
      </c>
      <c r="K64" s="108">
        <f>1000000</f>
        <v>1000000</v>
      </c>
      <c r="L64" s="105">
        <f>350000</f>
        <v>350000</v>
      </c>
      <c r="M64" s="109">
        <v>0</v>
      </c>
      <c r="N64" s="26">
        <f t="shared" si="9"/>
        <v>1350000</v>
      </c>
      <c r="O64" s="26"/>
      <c r="P64" s="26"/>
      <c r="Q64" s="26"/>
      <c r="R64" s="26">
        <f t="shared" si="10"/>
        <v>1350000</v>
      </c>
      <c r="S64" s="109">
        <f>825083.15+20663.88</f>
        <v>845747.03</v>
      </c>
      <c r="T64" s="28">
        <f t="shared" si="11"/>
        <v>0.62647928148148146</v>
      </c>
      <c r="U64" s="113">
        <f>825083.15+20663.88</f>
        <v>845747.03</v>
      </c>
      <c r="V64" s="28">
        <f t="shared" si="12"/>
        <v>0.62647928148148146</v>
      </c>
      <c r="W64" s="105">
        <f>825083.15+20663.88</f>
        <v>845747.03</v>
      </c>
      <c r="X64" s="28">
        <f t="shared" si="13"/>
        <v>0.62647928148148146</v>
      </c>
      <c r="Y64" s="5"/>
      <c r="Z64" s="5"/>
      <c r="AA64" s="5"/>
    </row>
    <row r="65" spans="1:27" ht="63" customHeight="1">
      <c r="A65" s="22" t="s">
        <v>87</v>
      </c>
      <c r="B65" s="23" t="s">
        <v>88</v>
      </c>
      <c r="C65" s="23" t="s">
        <v>118</v>
      </c>
      <c r="D65" s="23" t="s">
        <v>119</v>
      </c>
      <c r="E65" s="114" t="s">
        <v>90</v>
      </c>
      <c r="F65" s="114" t="s">
        <v>178</v>
      </c>
      <c r="G65" s="23" t="s">
        <v>54</v>
      </c>
      <c r="H65" s="104" t="s">
        <v>162</v>
      </c>
      <c r="I65" s="114" t="s">
        <v>161</v>
      </c>
      <c r="J65" s="121">
        <v>3</v>
      </c>
      <c r="K65" s="108">
        <v>0</v>
      </c>
      <c r="L65" s="105">
        <f>18498695.93-L66</f>
        <v>7770338.9299999997</v>
      </c>
      <c r="M65" s="105">
        <f>1754518-M66</f>
        <v>1170000</v>
      </c>
      <c r="N65" s="26">
        <f t="shared" si="9"/>
        <v>6600338.9299999997</v>
      </c>
      <c r="O65" s="26"/>
      <c r="P65" s="26"/>
      <c r="Q65" s="26"/>
      <c r="R65" s="26">
        <f t="shared" si="10"/>
        <v>6600338.9299999997</v>
      </c>
      <c r="S65" s="109">
        <f>8831964.43-S66</f>
        <v>4957717.76</v>
      </c>
      <c r="T65" s="28">
        <f t="shared" si="11"/>
        <v>0.75113078473380757</v>
      </c>
      <c r="U65" s="111">
        <f>477873.39-U66</f>
        <v>228453.39</v>
      </c>
      <c r="V65" s="28">
        <f t="shared" si="12"/>
        <v>3.4612372549783596E-2</v>
      </c>
      <c r="W65" s="105">
        <f>477873.39-W66</f>
        <v>228453.39</v>
      </c>
      <c r="X65" s="28">
        <f t="shared" si="13"/>
        <v>3.4612372549783596E-2</v>
      </c>
      <c r="Y65" s="5"/>
      <c r="Z65" s="5"/>
      <c r="AA65" s="5"/>
    </row>
    <row r="66" spans="1:27" ht="63" customHeight="1">
      <c r="A66" s="120" t="s">
        <v>87</v>
      </c>
      <c r="B66" s="23" t="s">
        <v>88</v>
      </c>
      <c r="C66" s="104" t="s">
        <v>118</v>
      </c>
      <c r="D66" s="104" t="s">
        <v>119</v>
      </c>
      <c r="E66" s="114" t="s">
        <v>90</v>
      </c>
      <c r="F66" s="114" t="s">
        <v>178</v>
      </c>
      <c r="G66" s="104" t="s">
        <v>54</v>
      </c>
      <c r="H66" s="104" t="s">
        <v>162</v>
      </c>
      <c r="I66" s="114" t="s">
        <v>161</v>
      </c>
      <c r="J66" s="44">
        <v>4</v>
      </c>
      <c r="K66" s="108">
        <v>0</v>
      </c>
      <c r="L66" s="105">
        <f>333167+10395190</f>
        <v>10728357</v>
      </c>
      <c r="M66" s="105">
        <f>584518</f>
        <v>584518</v>
      </c>
      <c r="N66" s="26">
        <f t="shared" si="9"/>
        <v>10143839</v>
      </c>
      <c r="O66" s="26"/>
      <c r="P66" s="26"/>
      <c r="Q66" s="26"/>
      <c r="R66" s="26">
        <f t="shared" si="10"/>
        <v>10143839</v>
      </c>
      <c r="S66" s="109">
        <f>222111.11+111055.56+249420+3291660</f>
        <v>3874246.67</v>
      </c>
      <c r="T66" s="28">
        <f t="shared" si="11"/>
        <v>0.38193100955170917</v>
      </c>
      <c r="U66" s="113">
        <v>249420</v>
      </c>
      <c r="V66" s="28">
        <f t="shared" si="12"/>
        <v>2.4588324006325418E-2</v>
      </c>
      <c r="W66" s="105">
        <v>249420</v>
      </c>
      <c r="X66" s="28">
        <f t="shared" si="13"/>
        <v>2.4588324006325418E-2</v>
      </c>
      <c r="Y66" s="5"/>
      <c r="Z66" s="5"/>
      <c r="AA66" s="5"/>
    </row>
    <row r="67" spans="1:27" ht="63" customHeight="1">
      <c r="A67" s="22" t="s">
        <v>87</v>
      </c>
      <c r="B67" s="23" t="s">
        <v>88</v>
      </c>
      <c r="C67" s="23" t="s">
        <v>118</v>
      </c>
      <c r="D67" s="23" t="s">
        <v>121</v>
      </c>
      <c r="E67" s="33" t="s">
        <v>65</v>
      </c>
      <c r="F67" s="104" t="s">
        <v>179</v>
      </c>
      <c r="G67" s="23" t="s">
        <v>54</v>
      </c>
      <c r="H67" s="104" t="s">
        <v>150</v>
      </c>
      <c r="I67" s="114" t="s">
        <v>161</v>
      </c>
      <c r="J67" s="121">
        <v>3</v>
      </c>
      <c r="K67" s="108">
        <f>9751090-K68</f>
        <v>9651090</v>
      </c>
      <c r="L67" s="105">
        <f>327000-L68</f>
        <v>27000</v>
      </c>
      <c r="M67" s="105">
        <f>127000-M68</f>
        <v>27000</v>
      </c>
      <c r="N67" s="26">
        <f t="shared" si="9"/>
        <v>9651090</v>
      </c>
      <c r="O67" s="26"/>
      <c r="P67" s="26"/>
      <c r="Q67" s="26"/>
      <c r="R67" s="26">
        <f t="shared" si="10"/>
        <v>9651090</v>
      </c>
      <c r="S67" s="109">
        <f>9870860.26-S68</f>
        <v>9570860.2599999998</v>
      </c>
      <c r="T67" s="28">
        <f t="shared" si="11"/>
        <v>0.9916869762897248</v>
      </c>
      <c r="U67" s="111">
        <f>3957869.76-U68</f>
        <v>3809543.9499999997</v>
      </c>
      <c r="V67" s="28">
        <f t="shared" si="12"/>
        <v>0.39472680806002219</v>
      </c>
      <c r="W67" s="105">
        <f>3957869.76-W68</f>
        <v>3809543.9499999997</v>
      </c>
      <c r="X67" s="28">
        <f t="shared" si="13"/>
        <v>0.39472680806002219</v>
      </c>
      <c r="Y67" s="5"/>
      <c r="Z67" s="5"/>
      <c r="AA67" s="5"/>
    </row>
    <row r="68" spans="1:27" ht="63" customHeight="1">
      <c r="A68" s="22" t="s">
        <v>87</v>
      </c>
      <c r="B68" s="23" t="s">
        <v>88</v>
      </c>
      <c r="C68" s="23" t="s">
        <v>118</v>
      </c>
      <c r="D68" s="23" t="s">
        <v>121</v>
      </c>
      <c r="E68" s="33" t="s">
        <v>65</v>
      </c>
      <c r="F68" s="104" t="s">
        <v>179</v>
      </c>
      <c r="G68" s="23" t="s">
        <v>54</v>
      </c>
      <c r="H68" s="104" t="s">
        <v>150</v>
      </c>
      <c r="I68" s="114" t="s">
        <v>161</v>
      </c>
      <c r="J68" s="44">
        <v>4</v>
      </c>
      <c r="K68" s="108">
        <v>100000</v>
      </c>
      <c r="L68" s="105">
        <v>300000</v>
      </c>
      <c r="M68" s="105">
        <v>100000</v>
      </c>
      <c r="N68" s="26">
        <f t="shared" si="9"/>
        <v>300000</v>
      </c>
      <c r="O68" s="26"/>
      <c r="P68" s="26"/>
      <c r="Q68" s="26"/>
      <c r="R68" s="26">
        <f t="shared" si="10"/>
        <v>300000</v>
      </c>
      <c r="S68" s="109">
        <f>250000+50000</f>
        <v>300000</v>
      </c>
      <c r="T68" s="28">
        <f t="shared" si="11"/>
        <v>1</v>
      </c>
      <c r="U68" s="113">
        <f>141304.33+7021.48</f>
        <v>148325.81</v>
      </c>
      <c r="V68" s="28">
        <f t="shared" si="12"/>
        <v>0.49441936666666664</v>
      </c>
      <c r="W68" s="105">
        <f>141304.33+7021.48</f>
        <v>148325.81</v>
      </c>
      <c r="X68" s="28">
        <f t="shared" si="13"/>
        <v>0.49441936666666664</v>
      </c>
      <c r="Y68" s="5"/>
      <c r="Z68" s="5"/>
      <c r="AA68" s="5"/>
    </row>
    <row r="69" spans="1:27" ht="63" customHeight="1">
      <c r="A69" s="22" t="s">
        <v>87</v>
      </c>
      <c r="B69" s="23" t="s">
        <v>88</v>
      </c>
      <c r="C69" s="23" t="s">
        <v>118</v>
      </c>
      <c r="D69" s="23" t="s">
        <v>121</v>
      </c>
      <c r="E69" s="33" t="s">
        <v>65</v>
      </c>
      <c r="F69" s="104" t="s">
        <v>179</v>
      </c>
      <c r="G69" s="23" t="s">
        <v>54</v>
      </c>
      <c r="H69" s="104" t="s">
        <v>162</v>
      </c>
      <c r="I69" s="114" t="s">
        <v>161</v>
      </c>
      <c r="J69" s="121">
        <v>3</v>
      </c>
      <c r="K69" s="108">
        <v>0</v>
      </c>
      <c r="L69" s="105">
        <v>1569191.32</v>
      </c>
      <c r="M69" s="105">
        <v>5000</v>
      </c>
      <c r="N69" s="26">
        <f t="shared" si="9"/>
        <v>1564191.32</v>
      </c>
      <c r="O69" s="26"/>
      <c r="P69" s="26"/>
      <c r="Q69" s="26"/>
      <c r="R69" s="26">
        <f t="shared" si="10"/>
        <v>1564191.32</v>
      </c>
      <c r="S69" s="109">
        <v>1476793.91</v>
      </c>
      <c r="T69" s="28">
        <f t="shared" si="11"/>
        <v>0.94412613797140865</v>
      </c>
      <c r="U69" s="111">
        <v>349222.8</v>
      </c>
      <c r="V69" s="28">
        <f t="shared" si="12"/>
        <v>0.22326092437336884</v>
      </c>
      <c r="W69" s="105">
        <v>349222.8</v>
      </c>
      <c r="X69" s="28">
        <f t="shared" si="13"/>
        <v>0.22326092437336884</v>
      </c>
      <c r="Y69" s="5"/>
      <c r="Z69" s="5"/>
      <c r="AA69" s="5"/>
    </row>
    <row r="70" spans="1:27" ht="63" customHeight="1">
      <c r="A70" s="22" t="s">
        <v>87</v>
      </c>
      <c r="B70" s="23" t="s">
        <v>88</v>
      </c>
      <c r="C70" s="23" t="s">
        <v>76</v>
      </c>
      <c r="D70" s="23" t="s">
        <v>77</v>
      </c>
      <c r="E70" s="33" t="s">
        <v>65</v>
      </c>
      <c r="F70" s="23" t="s">
        <v>123</v>
      </c>
      <c r="G70" s="23" t="s">
        <v>54</v>
      </c>
      <c r="H70" s="104" t="s">
        <v>150</v>
      </c>
      <c r="I70" s="114" t="s">
        <v>161</v>
      </c>
      <c r="J70" s="121">
        <v>3</v>
      </c>
      <c r="K70" s="108">
        <f>1500000</f>
        <v>1500000</v>
      </c>
      <c r="L70" s="105">
        <v>615596.36</v>
      </c>
      <c r="M70" s="105">
        <v>615596.36</v>
      </c>
      <c r="N70" s="26">
        <f t="shared" si="9"/>
        <v>1500000</v>
      </c>
      <c r="O70" s="26"/>
      <c r="P70" s="26"/>
      <c r="Q70" s="26"/>
      <c r="R70" s="26">
        <f t="shared" si="10"/>
        <v>1500000</v>
      </c>
      <c r="S70" s="109">
        <v>1272760.5900000001</v>
      </c>
      <c r="T70" s="28">
        <f t="shared" si="11"/>
        <v>0.84850706000000009</v>
      </c>
      <c r="U70" s="111">
        <v>947233.23</v>
      </c>
      <c r="V70" s="28">
        <f t="shared" si="12"/>
        <v>0.63148881999999995</v>
      </c>
      <c r="W70" s="105">
        <v>943773.51</v>
      </c>
      <c r="X70" s="28">
        <f t="shared" si="13"/>
        <v>0.62918233999999995</v>
      </c>
      <c r="Y70" s="5"/>
      <c r="Z70" s="5"/>
      <c r="AA70" s="5"/>
    </row>
    <row r="71" spans="1:27" ht="63" customHeight="1">
      <c r="A71" s="22" t="s">
        <v>87</v>
      </c>
      <c r="B71" s="23" t="s">
        <v>88</v>
      </c>
      <c r="C71" s="23" t="s">
        <v>76</v>
      </c>
      <c r="D71" s="23" t="s">
        <v>77</v>
      </c>
      <c r="E71" s="33" t="s">
        <v>65</v>
      </c>
      <c r="F71" s="23" t="s">
        <v>123</v>
      </c>
      <c r="G71" s="23" t="s">
        <v>54</v>
      </c>
      <c r="H71" s="104" t="s">
        <v>162</v>
      </c>
      <c r="I71" s="114" t="s">
        <v>161</v>
      </c>
      <c r="J71" s="121">
        <v>3</v>
      </c>
      <c r="K71" s="108">
        <v>0</v>
      </c>
      <c r="L71" s="105">
        <v>509200.25</v>
      </c>
      <c r="M71" s="105">
        <v>0</v>
      </c>
      <c r="N71" s="26">
        <f t="shared" si="9"/>
        <v>509200.25</v>
      </c>
      <c r="O71" s="26"/>
      <c r="P71" s="26"/>
      <c r="Q71" s="26"/>
      <c r="R71" s="26">
        <f t="shared" si="10"/>
        <v>509200.25</v>
      </c>
      <c r="S71" s="109">
        <v>309200.25</v>
      </c>
      <c r="T71" s="28">
        <f t="shared" si="11"/>
        <v>0.6072272156190025</v>
      </c>
      <c r="U71" s="111">
        <v>209200.25</v>
      </c>
      <c r="V71" s="28">
        <f t="shared" si="12"/>
        <v>0.41084082342850381</v>
      </c>
      <c r="W71" s="105">
        <v>209200.25</v>
      </c>
      <c r="X71" s="28">
        <f t="shared" si="13"/>
        <v>0.41084082342850381</v>
      </c>
      <c r="Y71" s="5"/>
      <c r="Z71" s="5"/>
      <c r="AA71" s="5"/>
    </row>
    <row r="72" spans="1:27" ht="63" customHeight="1">
      <c r="A72" s="22" t="s">
        <v>87</v>
      </c>
      <c r="B72" s="23" t="s">
        <v>88</v>
      </c>
      <c r="C72" s="23" t="s">
        <v>76</v>
      </c>
      <c r="D72" s="104" t="s">
        <v>61</v>
      </c>
      <c r="E72" s="33" t="s">
        <v>65</v>
      </c>
      <c r="F72" s="104" t="s">
        <v>169</v>
      </c>
      <c r="G72" s="23" t="s">
        <v>54</v>
      </c>
      <c r="H72" s="104" t="s">
        <v>150</v>
      </c>
      <c r="I72" s="114" t="s">
        <v>161</v>
      </c>
      <c r="J72" s="121">
        <v>3</v>
      </c>
      <c r="K72" s="108">
        <v>205640</v>
      </c>
      <c r="L72" s="105">
        <v>59670</v>
      </c>
      <c r="M72" s="105">
        <v>59670</v>
      </c>
      <c r="N72" s="26">
        <f t="shared" si="9"/>
        <v>205640</v>
      </c>
      <c r="O72" s="26"/>
      <c r="P72" s="26"/>
      <c r="Q72" s="26"/>
      <c r="R72" s="26">
        <f t="shared" si="10"/>
        <v>205640</v>
      </c>
      <c r="S72" s="109">
        <v>2996</v>
      </c>
      <c r="T72" s="28">
        <f t="shared" si="11"/>
        <v>1.4569149970822797E-2</v>
      </c>
      <c r="U72" s="111">
        <v>2996</v>
      </c>
      <c r="V72" s="28">
        <f t="shared" si="12"/>
        <v>1.4569149970822797E-2</v>
      </c>
      <c r="W72" s="105">
        <v>2996</v>
      </c>
      <c r="X72" s="28">
        <f t="shared" si="13"/>
        <v>1.4569149970822797E-2</v>
      </c>
      <c r="Y72" s="5"/>
      <c r="Z72" s="5"/>
      <c r="AA72" s="5"/>
    </row>
    <row r="73" spans="1:27" ht="63" customHeight="1">
      <c r="A73" s="22" t="s">
        <v>87</v>
      </c>
      <c r="B73" s="23" t="s">
        <v>88</v>
      </c>
      <c r="C73" s="23" t="s">
        <v>76</v>
      </c>
      <c r="D73" s="104" t="s">
        <v>61</v>
      </c>
      <c r="E73" s="33" t="s">
        <v>65</v>
      </c>
      <c r="F73" s="104" t="s">
        <v>169</v>
      </c>
      <c r="G73" s="23" t="s">
        <v>54</v>
      </c>
      <c r="H73" s="104" t="s">
        <v>150</v>
      </c>
      <c r="I73" s="114" t="s">
        <v>161</v>
      </c>
      <c r="J73" s="44">
        <v>4</v>
      </c>
      <c r="K73" s="108">
        <v>240000</v>
      </c>
      <c r="L73" s="105">
        <v>0</v>
      </c>
      <c r="M73" s="105">
        <v>0</v>
      </c>
      <c r="N73" s="26">
        <f t="shared" si="9"/>
        <v>240000</v>
      </c>
      <c r="O73" s="26"/>
      <c r="P73" s="26"/>
      <c r="Q73" s="26"/>
      <c r="R73" s="26">
        <f t="shared" si="10"/>
        <v>240000</v>
      </c>
      <c r="S73" s="109">
        <v>48079</v>
      </c>
      <c r="T73" s="28">
        <f t="shared" si="11"/>
        <v>0.20032916666666667</v>
      </c>
      <c r="U73" s="113">
        <v>0</v>
      </c>
      <c r="V73" s="28">
        <f t="shared" si="12"/>
        <v>0</v>
      </c>
      <c r="W73" s="105">
        <v>0</v>
      </c>
      <c r="X73" s="28">
        <f t="shared" si="13"/>
        <v>0</v>
      </c>
      <c r="Y73" s="5"/>
      <c r="Z73" s="5"/>
      <c r="AA73" s="5"/>
    </row>
    <row r="74" spans="1:27" ht="63" customHeight="1">
      <c r="A74" s="120" t="s">
        <v>87</v>
      </c>
      <c r="B74" s="23" t="s">
        <v>88</v>
      </c>
      <c r="C74" s="104" t="s">
        <v>76</v>
      </c>
      <c r="D74" s="104" t="s">
        <v>180</v>
      </c>
      <c r="E74" s="33" t="s">
        <v>65</v>
      </c>
      <c r="F74" s="104" t="s">
        <v>169</v>
      </c>
      <c r="G74" s="104" t="s">
        <v>54</v>
      </c>
      <c r="H74" s="104" t="s">
        <v>154</v>
      </c>
      <c r="I74" s="104" t="s">
        <v>163</v>
      </c>
      <c r="J74" s="129">
        <v>3</v>
      </c>
      <c r="K74" s="108">
        <v>1200000</v>
      </c>
      <c r="L74" s="105">
        <v>106714</v>
      </c>
      <c r="M74" s="105">
        <v>106714</v>
      </c>
      <c r="N74" s="26">
        <f t="shared" si="9"/>
        <v>1200000</v>
      </c>
      <c r="O74" s="26"/>
      <c r="P74" s="26"/>
      <c r="Q74" s="26"/>
      <c r="R74" s="26">
        <f t="shared" si="10"/>
        <v>1200000</v>
      </c>
      <c r="S74" s="109">
        <v>949181.97</v>
      </c>
      <c r="T74" s="28">
        <f t="shared" si="11"/>
        <v>0.79098497499999998</v>
      </c>
      <c r="U74" s="111">
        <v>423183.63</v>
      </c>
      <c r="V74" s="28">
        <f t="shared" si="12"/>
        <v>0.35265302500000001</v>
      </c>
      <c r="W74" s="105">
        <v>414926.38</v>
      </c>
      <c r="X74" s="28">
        <f t="shared" si="13"/>
        <v>0.34577198333333331</v>
      </c>
      <c r="Y74" s="5"/>
      <c r="Z74" s="5"/>
      <c r="AA74" s="5"/>
    </row>
    <row r="75" spans="1:27" ht="15.75" customHeight="1">
      <c r="A75" s="143" t="s">
        <v>124</v>
      </c>
      <c r="B75" s="142"/>
      <c r="C75" s="142"/>
      <c r="D75" s="142"/>
      <c r="E75" s="142"/>
      <c r="F75" s="142"/>
      <c r="G75" s="142"/>
      <c r="H75" s="142"/>
      <c r="I75" s="142"/>
      <c r="J75" s="137"/>
      <c r="K75" s="39">
        <f t="shared" ref="K75:S75" si="14">SUM(K33:K74)</f>
        <v>190820000</v>
      </c>
      <c r="L75" s="39">
        <f t="shared" si="14"/>
        <v>152185595.56999999</v>
      </c>
      <c r="M75" s="39">
        <f t="shared" si="14"/>
        <v>72935883.070000008</v>
      </c>
      <c r="N75" s="39">
        <f t="shared" si="14"/>
        <v>270069712.5</v>
      </c>
      <c r="O75" s="39">
        <f t="shared" si="14"/>
        <v>0</v>
      </c>
      <c r="P75" s="39">
        <f t="shared" si="14"/>
        <v>0</v>
      </c>
      <c r="Q75" s="39">
        <f t="shared" si="14"/>
        <v>0</v>
      </c>
      <c r="R75" s="39">
        <f t="shared" si="14"/>
        <v>270069712.5</v>
      </c>
      <c r="S75" s="39">
        <f t="shared" si="14"/>
        <v>238824739.23999992</v>
      </c>
      <c r="T75" s="40">
        <f t="shared" si="11"/>
        <v>0.88430774791156896</v>
      </c>
      <c r="U75" s="39">
        <f>SUM(U33:U74)</f>
        <v>146878001.34</v>
      </c>
      <c r="V75" s="40">
        <f t="shared" si="12"/>
        <v>0.54385217794461127</v>
      </c>
      <c r="W75" s="39">
        <f>SUM(W33:W74)</f>
        <v>146256054.14999998</v>
      </c>
      <c r="X75" s="40">
        <f t="shared" si="13"/>
        <v>0.5415492644329748</v>
      </c>
      <c r="Y75" s="5"/>
      <c r="Z75" s="5"/>
      <c r="AA75" s="5"/>
    </row>
    <row r="76" spans="1:27" ht="15.75" customHeight="1">
      <c r="A76" s="144" t="s">
        <v>125</v>
      </c>
      <c r="B76" s="142"/>
      <c r="C76" s="142"/>
      <c r="D76" s="142"/>
      <c r="E76" s="142"/>
      <c r="F76" s="142"/>
      <c r="G76" s="142"/>
      <c r="H76" s="142"/>
      <c r="I76" s="142"/>
      <c r="J76" s="137"/>
      <c r="K76" s="57">
        <f t="shared" ref="K76:S76" si="15">SUM(K30+K75)</f>
        <v>1214989000</v>
      </c>
      <c r="L76" s="57">
        <f t="shared" si="15"/>
        <v>251070195.72999999</v>
      </c>
      <c r="M76" s="57">
        <f t="shared" si="15"/>
        <v>171620483.23000002</v>
      </c>
      <c r="N76" s="57">
        <f t="shared" si="15"/>
        <v>1293133157.73</v>
      </c>
      <c r="O76" s="57">
        <f t="shared" si="15"/>
        <v>0</v>
      </c>
      <c r="P76" s="57">
        <f t="shared" si="15"/>
        <v>0</v>
      </c>
      <c r="Q76" s="57">
        <f t="shared" si="15"/>
        <v>-63026471.569999993</v>
      </c>
      <c r="R76" s="57">
        <f t="shared" si="15"/>
        <v>1231412240.9300003</v>
      </c>
      <c r="S76" s="57">
        <f t="shared" si="15"/>
        <v>1145037119.8399999</v>
      </c>
      <c r="T76" s="58">
        <f t="shared" si="11"/>
        <v>0.9298568601001016</v>
      </c>
      <c r="U76" s="57">
        <f>SUM(U30+U75)</f>
        <v>1051317409.1</v>
      </c>
      <c r="V76" s="58">
        <f t="shared" si="12"/>
        <v>0.85374935716573097</v>
      </c>
      <c r="W76" s="57">
        <f>SUM(W30+W75)</f>
        <v>1029181792.1200001</v>
      </c>
      <c r="X76" s="58">
        <f t="shared" si="13"/>
        <v>0.83577355974854561</v>
      </c>
      <c r="Y76" s="30"/>
      <c r="Z76" s="5"/>
      <c r="AA76" s="5"/>
    </row>
    <row r="77" spans="1:27" ht="14.25" customHeight="1">
      <c r="A77" s="59" t="s">
        <v>126</v>
      </c>
      <c r="B77" s="60"/>
      <c r="C77" s="60"/>
      <c r="D77" s="60"/>
      <c r="E77" s="60"/>
      <c r="F77" s="60"/>
      <c r="G77" s="60"/>
      <c r="H77" s="61"/>
      <c r="I77" s="61"/>
      <c r="J77" s="61"/>
      <c r="K77" s="60"/>
      <c r="L77" s="60"/>
      <c r="M77" s="62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5"/>
      <c r="Z77" s="5"/>
      <c r="AA77" s="5"/>
    </row>
    <row r="78" spans="1:27" ht="14.25" customHeight="1">
      <c r="A78" s="59" t="s">
        <v>127</v>
      </c>
      <c r="B78" s="64"/>
      <c r="C78" s="60"/>
      <c r="D78" s="60"/>
      <c r="E78" s="60"/>
      <c r="F78" s="60"/>
      <c r="G78" s="60"/>
      <c r="H78" s="61"/>
      <c r="I78" s="61"/>
      <c r="J78" s="61"/>
      <c r="K78" s="60"/>
      <c r="L78" s="60"/>
      <c r="M78" s="62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5"/>
      <c r="Z78" s="118"/>
      <c r="AA78" s="5"/>
    </row>
    <row r="79" spans="1:27" ht="14.25" customHeight="1">
      <c r="A79" s="145" t="s">
        <v>128</v>
      </c>
      <c r="B79" s="142"/>
      <c r="C79" s="142"/>
      <c r="D79" s="142"/>
      <c r="E79" s="142"/>
      <c r="F79" s="142"/>
      <c r="G79" s="142"/>
      <c r="H79" s="142"/>
      <c r="I79" s="142"/>
      <c r="J79" s="142"/>
      <c r="K79" s="142"/>
      <c r="L79" s="142"/>
      <c r="M79" s="137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5"/>
      <c r="Z79" s="118"/>
      <c r="AA79" s="5"/>
    </row>
    <row r="80" spans="1:27" ht="14.25" customHeight="1">
      <c r="A80" s="122" t="s">
        <v>165</v>
      </c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63"/>
      <c r="O80" s="63"/>
      <c r="P80" s="63"/>
      <c r="Q80" s="5"/>
      <c r="R80" s="5"/>
      <c r="S80" s="5"/>
      <c r="T80" s="5"/>
      <c r="U80" s="5"/>
      <c r="V80" s="5"/>
      <c r="W80" s="5"/>
      <c r="X80" s="66"/>
      <c r="Y80" s="5"/>
      <c r="Z80" s="118"/>
      <c r="AA80" s="5"/>
    </row>
    <row r="81" spans="1:27" ht="14.25" customHeight="1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126"/>
      <c r="U81" s="130"/>
      <c r="V81" s="5"/>
      <c r="W81" s="5"/>
      <c r="X81" s="5"/>
      <c r="Y81" s="5"/>
      <c r="Z81" s="5"/>
      <c r="AA81" s="5"/>
    </row>
    <row r="82" spans="1:27" ht="14.25" customHeight="1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126"/>
      <c r="U82" s="130"/>
      <c r="V82" s="5"/>
      <c r="W82" s="5"/>
      <c r="X82" s="5"/>
      <c r="Y82" s="5"/>
      <c r="Z82" s="5"/>
      <c r="AA82" s="5"/>
    </row>
    <row r="83" spans="1:27" ht="14.25" customHeight="1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</row>
    <row r="84" spans="1:27" ht="14.25" customHeight="1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</row>
    <row r="85" spans="1:27" ht="14.25" customHeight="1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</row>
    <row r="86" spans="1:27" ht="14.25" customHeight="1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</row>
    <row r="87" spans="1:27" ht="14.25" customHeight="1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</row>
    <row r="88" spans="1:27" ht="14.25" customHeight="1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</row>
    <row r="89" spans="1:27" ht="14.25" customHeight="1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</row>
    <row r="90" spans="1:27" ht="14.25" customHeight="1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</row>
    <row r="91" spans="1:27" ht="14.25" customHeight="1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</row>
    <row r="92" spans="1:27" ht="14.25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</row>
    <row r="93" spans="1:27" ht="14.25" customHeight="1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</row>
    <row r="94" spans="1:27" ht="14.25" customHeight="1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</row>
    <row r="95" spans="1:27" ht="14.25" customHeight="1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</row>
    <row r="96" spans="1:27" ht="14.25" customHeight="1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</row>
    <row r="97" spans="1:27" ht="14.25" customHeight="1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</row>
    <row r="98" spans="1:27" ht="14.25" customHeight="1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</row>
    <row r="99" spans="1:27" ht="14.25" customHeight="1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</row>
    <row r="100" spans="1:27" ht="14.25" customHeight="1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</row>
    <row r="101" spans="1:27" ht="14.25" customHeight="1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</row>
    <row r="102" spans="1:27" ht="14.25" customHeight="1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</row>
    <row r="103" spans="1:27" ht="14.25" customHeight="1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</row>
    <row r="104" spans="1:27" ht="14.25" customHeight="1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</row>
    <row r="105" spans="1:27" ht="14.25" customHeight="1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</row>
    <row r="106" spans="1:27" ht="14.25" customHeight="1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</row>
    <row r="107" spans="1:27" ht="14.25" customHeight="1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</row>
    <row r="108" spans="1:27" ht="14.25" customHeight="1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</row>
    <row r="109" spans="1:27" ht="14.25" customHeight="1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</row>
    <row r="110" spans="1:27" ht="14.25" customHeight="1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</row>
    <row r="111" spans="1:27" ht="14.25" customHeight="1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</row>
    <row r="112" spans="1:27" ht="14.25" customHeight="1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</row>
    <row r="113" spans="1:27" ht="14.25" customHeight="1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</row>
    <row r="114" spans="1:27" ht="14.25" customHeight="1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</row>
    <row r="115" spans="1:27" ht="14.25" customHeight="1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</row>
    <row r="116" spans="1:27" ht="14.25" customHeight="1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</row>
    <row r="117" spans="1:27" ht="14.25" customHeight="1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</row>
    <row r="118" spans="1:27" ht="14.25" customHeight="1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</row>
    <row r="119" spans="1:27" ht="14.25" customHeight="1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</row>
    <row r="120" spans="1:27" ht="14.25" customHeight="1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</row>
    <row r="121" spans="1:27" ht="14.25" customHeight="1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</row>
    <row r="122" spans="1:27" ht="14.25" customHeight="1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</row>
    <row r="123" spans="1:27" ht="14.25" customHeight="1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</row>
    <row r="124" spans="1:27" ht="14.25" customHeight="1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</row>
    <row r="125" spans="1:27" ht="14.25" customHeight="1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</row>
    <row r="126" spans="1:27" ht="14.25" customHeight="1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</row>
    <row r="127" spans="1:27" ht="14.25" customHeight="1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</row>
    <row r="128" spans="1:27" ht="14.25" customHeight="1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</row>
    <row r="129" spans="1:27" ht="14.25" customHeight="1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</row>
    <row r="130" spans="1:27" ht="14.25" customHeight="1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</row>
    <row r="131" spans="1:27" ht="14.25" customHeight="1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</row>
    <row r="132" spans="1:27" ht="14.25" customHeight="1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</row>
    <row r="133" spans="1:27" ht="14.25" customHeight="1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</row>
    <row r="134" spans="1:27" ht="14.25" customHeight="1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</row>
    <row r="135" spans="1:27" ht="14.25" customHeight="1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</row>
    <row r="136" spans="1:27" ht="14.25" customHeight="1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</row>
    <row r="137" spans="1:27" ht="14.25" customHeight="1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</row>
    <row r="138" spans="1:27" ht="14.25" customHeight="1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</row>
    <row r="139" spans="1:27" ht="14.25" customHeight="1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</row>
    <row r="140" spans="1:27" ht="14.25" customHeight="1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</row>
    <row r="141" spans="1:27" ht="14.25" customHeight="1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</row>
    <row r="142" spans="1:27" ht="14.25" customHeight="1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</row>
    <row r="143" spans="1:27" ht="14.25" customHeight="1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</row>
    <row r="144" spans="1:27" ht="14.25" customHeight="1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</row>
    <row r="145" spans="1:27" ht="14.25" customHeight="1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</row>
    <row r="146" spans="1:27" ht="14.25" customHeight="1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</row>
    <row r="147" spans="1:27" ht="14.25" customHeight="1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</row>
    <row r="148" spans="1:27" ht="14.25" customHeight="1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</row>
    <row r="149" spans="1:27" ht="14.25" customHeight="1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</row>
    <row r="150" spans="1:27" ht="14.25" customHeight="1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</row>
    <row r="151" spans="1:27" ht="14.25" customHeight="1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</row>
    <row r="152" spans="1:27" ht="14.25" customHeight="1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</row>
    <row r="153" spans="1:27" ht="14.25" customHeight="1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</row>
    <row r="154" spans="1:27" ht="14.25" customHeight="1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</row>
    <row r="155" spans="1:27" ht="14.25" customHeight="1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</row>
    <row r="156" spans="1:27" ht="14.25" customHeight="1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</row>
    <row r="157" spans="1:27" ht="14.25" customHeight="1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</row>
    <row r="158" spans="1:27" ht="14.25" customHeight="1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</row>
    <row r="159" spans="1:27" ht="14.25" customHeight="1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</row>
    <row r="160" spans="1:27" ht="14.25" customHeight="1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</row>
    <row r="161" spans="1:27" ht="14.25" customHeight="1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</row>
    <row r="162" spans="1:27" ht="14.25" customHeight="1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</row>
    <row r="163" spans="1:27" ht="14.25" customHeight="1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</row>
    <row r="164" spans="1:27" ht="14.25" customHeight="1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</row>
    <row r="165" spans="1:27" ht="14.25" customHeight="1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</row>
    <row r="166" spans="1:27" ht="14.25" customHeight="1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</row>
    <row r="167" spans="1:27" ht="14.25" customHeight="1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</row>
    <row r="168" spans="1:27" ht="14.25" customHeight="1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</row>
    <row r="169" spans="1:27" ht="14.25" customHeight="1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</row>
    <row r="170" spans="1:27" ht="14.25" customHeight="1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</row>
    <row r="171" spans="1:27" ht="14.25" customHeight="1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</row>
    <row r="172" spans="1:27" ht="14.25" customHeight="1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</row>
    <row r="173" spans="1:27" ht="14.25" customHeight="1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</row>
    <row r="174" spans="1:27" ht="14.25" customHeight="1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</row>
    <row r="175" spans="1:27" ht="14.25" customHeight="1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</row>
    <row r="176" spans="1:27" ht="14.25" customHeight="1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</row>
    <row r="177" spans="1:27" ht="14.25" customHeight="1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</row>
    <row r="178" spans="1:27" ht="14.25" customHeight="1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</row>
    <row r="179" spans="1:27" ht="14.25" customHeight="1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</row>
    <row r="180" spans="1:27" ht="14.25" customHeight="1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</row>
    <row r="181" spans="1:27" ht="14.25" customHeight="1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</row>
    <row r="182" spans="1:27" ht="14.25" customHeight="1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</row>
    <row r="183" spans="1:27" ht="14.25" customHeight="1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</row>
    <row r="184" spans="1:27" ht="14.25" customHeight="1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</row>
    <row r="185" spans="1:27" ht="14.25" customHeight="1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</row>
    <row r="186" spans="1:27" ht="14.25" customHeight="1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</row>
    <row r="187" spans="1:27" ht="14.25" customHeight="1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</row>
    <row r="188" spans="1:27" ht="14.25" customHeight="1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</row>
    <row r="189" spans="1:27" ht="14.25" customHeight="1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</row>
    <row r="190" spans="1:27" ht="14.25" customHeight="1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</row>
    <row r="191" spans="1:27" ht="14.25" customHeight="1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</row>
    <row r="192" spans="1:27" ht="14.25" customHeight="1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</row>
    <row r="193" spans="1:27" ht="14.25" customHeight="1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</row>
    <row r="194" spans="1:27" ht="14.25" customHeight="1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</row>
    <row r="195" spans="1:27" ht="14.25" customHeight="1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</row>
    <row r="196" spans="1:27" ht="14.25" customHeight="1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</row>
    <row r="197" spans="1:27" ht="14.25" customHeight="1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</row>
    <row r="198" spans="1:27" ht="14.25" customHeight="1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</row>
    <row r="199" spans="1:27" ht="14.25" customHeight="1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</row>
    <row r="200" spans="1:27" ht="14.25" customHeight="1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</row>
    <row r="201" spans="1:27" ht="14.25" customHeight="1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</row>
    <row r="202" spans="1:27" ht="14.25" customHeight="1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</row>
    <row r="203" spans="1:27" ht="14.25" customHeight="1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</row>
    <row r="204" spans="1:27" ht="14.25" customHeight="1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</row>
    <row r="205" spans="1:27" ht="14.25" customHeight="1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</row>
    <row r="206" spans="1:27" ht="14.25" customHeight="1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</row>
    <row r="207" spans="1:27" ht="14.25" customHeight="1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</row>
    <row r="208" spans="1:27" ht="14.25" customHeight="1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</row>
    <row r="209" spans="1:27" ht="14.25" customHeight="1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</row>
    <row r="210" spans="1:27" ht="14.25" customHeight="1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</row>
    <row r="211" spans="1:27" ht="14.25" customHeight="1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</row>
    <row r="212" spans="1:27" ht="14.25" customHeight="1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</row>
    <row r="213" spans="1:27" ht="14.25" customHeight="1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</row>
    <row r="214" spans="1:27" ht="14.25" customHeight="1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</row>
    <row r="215" spans="1:27" ht="14.25" customHeight="1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</row>
    <row r="216" spans="1:27" ht="14.25" customHeight="1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</row>
    <row r="217" spans="1:27" ht="14.25" customHeight="1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</row>
    <row r="218" spans="1:27" ht="14.25" customHeight="1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</row>
    <row r="219" spans="1:27" ht="14.25" customHeight="1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</row>
    <row r="220" spans="1:27" ht="14.25" customHeight="1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</row>
    <row r="221" spans="1:27" ht="14.25" customHeight="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</row>
    <row r="222" spans="1:27" ht="14.25" customHeight="1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</row>
    <row r="223" spans="1:27" ht="14.25" customHeight="1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</row>
    <row r="224" spans="1:27" ht="14.25" customHeight="1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</row>
    <row r="225" spans="1:27" ht="14.25" customHeight="1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</row>
    <row r="226" spans="1:27" ht="14.25" customHeight="1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</row>
    <row r="227" spans="1:27" ht="14.25" customHeight="1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</row>
    <row r="228" spans="1:27" ht="14.25" customHeight="1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</row>
    <row r="229" spans="1:27" ht="14.25" customHeight="1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</row>
    <row r="230" spans="1:27" ht="14.25" customHeight="1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</row>
    <row r="231" spans="1:27" ht="14.25" customHeight="1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</row>
    <row r="232" spans="1:27" ht="14.25" customHeight="1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</row>
    <row r="233" spans="1:27" ht="14.25" customHeight="1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</row>
    <row r="234" spans="1:27" ht="14.25" customHeight="1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</row>
    <row r="235" spans="1:27" ht="14.25" customHeight="1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</row>
    <row r="236" spans="1:27" ht="14.25" customHeight="1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</row>
    <row r="237" spans="1:27" ht="14.25" customHeight="1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</row>
    <row r="238" spans="1:27" ht="14.25" customHeight="1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</row>
    <row r="239" spans="1:27" ht="14.25" customHeight="1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</row>
    <row r="240" spans="1:27" ht="14.25" customHeight="1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</row>
    <row r="241" spans="1:27" ht="14.25" customHeight="1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</row>
    <row r="242" spans="1:27" ht="14.25" customHeight="1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</row>
    <row r="243" spans="1:27" ht="14.25" customHeight="1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</row>
    <row r="244" spans="1:27" ht="14.25" customHeight="1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</row>
    <row r="245" spans="1:27" ht="14.25" customHeight="1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</row>
    <row r="246" spans="1:27" ht="14.25" customHeight="1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</row>
    <row r="247" spans="1:27" ht="14.25" customHeight="1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</row>
    <row r="248" spans="1:27" ht="14.25" customHeight="1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</row>
    <row r="249" spans="1:27" ht="14.25" customHeight="1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</row>
    <row r="250" spans="1:27" ht="14.25" customHeight="1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</row>
    <row r="251" spans="1:27" ht="14.25" customHeight="1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</row>
    <row r="252" spans="1:27" ht="14.25" customHeight="1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</row>
    <row r="253" spans="1:27" ht="14.25" customHeight="1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</row>
    <row r="254" spans="1:27" ht="14.25" customHeight="1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</row>
    <row r="255" spans="1:27" ht="14.25" customHeight="1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</row>
    <row r="256" spans="1:27" ht="14.25" customHeight="1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</row>
    <row r="257" spans="1:27" ht="14.25" customHeight="1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</row>
    <row r="258" spans="1:27" ht="14.25" customHeight="1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</row>
    <row r="259" spans="1:27" ht="14.25" customHeight="1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</row>
    <row r="260" spans="1:27" ht="14.25" customHeight="1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</row>
    <row r="261" spans="1:27" ht="14.25" customHeight="1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</row>
    <row r="262" spans="1:27" ht="14.25" customHeight="1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</row>
    <row r="263" spans="1:27" ht="14.25" customHeight="1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</row>
    <row r="264" spans="1:27" ht="14.25" customHeight="1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</row>
    <row r="265" spans="1:27" ht="14.25" customHeight="1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</row>
    <row r="266" spans="1:27" ht="14.25" customHeight="1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</row>
    <row r="267" spans="1:27" ht="14.25" customHeight="1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</row>
    <row r="268" spans="1:27" ht="14.25" customHeight="1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</row>
    <row r="269" spans="1:27" ht="14.25" customHeight="1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</row>
    <row r="270" spans="1:27" ht="14.25" customHeight="1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</row>
    <row r="271" spans="1:27" ht="14.25" customHeight="1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</row>
    <row r="272" spans="1:27" ht="14.25" customHeight="1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</row>
    <row r="273" spans="1:27" ht="14.25" customHeight="1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</row>
    <row r="274" spans="1:27" ht="14.25" customHeight="1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</row>
    <row r="275" spans="1:27" ht="14.25" customHeight="1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</row>
    <row r="276" spans="1:27" ht="14.25" customHeight="1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</row>
    <row r="277" spans="1:27" ht="14.25" customHeight="1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</row>
    <row r="278" spans="1:27" ht="14.25" customHeight="1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</row>
    <row r="279" spans="1:27" ht="14.25" customHeight="1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</row>
    <row r="280" spans="1:27" ht="14.25" customHeight="1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</row>
    <row r="281" spans="1:27" ht="14.25" customHeight="1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</row>
    <row r="282" spans="1:27" ht="14.25" customHeight="1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</row>
    <row r="283" spans="1:27" ht="14.25" customHeight="1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</row>
    <row r="284" spans="1:27" ht="14.25" customHeight="1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</row>
    <row r="285" spans="1:27" ht="14.25" customHeight="1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</row>
    <row r="286" spans="1:27" ht="14.25" customHeight="1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</row>
    <row r="287" spans="1:27" ht="14.25" customHeight="1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</row>
    <row r="288" spans="1:27" ht="14.25" customHeight="1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</row>
    <row r="289" spans="1:27" ht="14.25" customHeight="1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</row>
    <row r="290" spans="1:27" ht="14.25" customHeight="1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</row>
    <row r="291" spans="1:27" ht="14.25" customHeight="1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</row>
    <row r="292" spans="1:27" ht="14.25" customHeight="1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</row>
    <row r="293" spans="1:27" ht="14.25" customHeight="1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</row>
    <row r="294" spans="1:27" ht="14.25" customHeight="1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</row>
    <row r="295" spans="1:27" ht="14.25" customHeight="1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</row>
    <row r="296" spans="1:27" ht="14.25" customHeight="1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</row>
    <row r="297" spans="1:27" ht="14.25" customHeight="1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</row>
    <row r="298" spans="1:27" ht="14.25" customHeight="1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</row>
    <row r="299" spans="1:27" ht="14.25" customHeight="1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</row>
    <row r="300" spans="1:27" ht="14.25" customHeight="1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</row>
    <row r="301" spans="1:27" ht="14.25" customHeight="1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</row>
    <row r="302" spans="1:27" ht="14.25" customHeight="1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</row>
    <row r="303" spans="1:27" ht="14.25" customHeight="1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</row>
    <row r="304" spans="1:27" ht="14.25" customHeight="1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</row>
    <row r="305" spans="1:27" ht="14.25" customHeight="1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</row>
    <row r="306" spans="1:27" ht="14.25" customHeight="1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</row>
    <row r="307" spans="1:27" ht="14.25" customHeight="1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</row>
    <row r="308" spans="1:27" ht="14.25" customHeight="1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</row>
    <row r="309" spans="1:27" ht="14.25" customHeight="1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</row>
    <row r="310" spans="1:27" ht="14.25" customHeight="1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</row>
    <row r="311" spans="1:27" ht="14.25" customHeight="1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</row>
    <row r="312" spans="1:27" ht="14.25" customHeight="1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</row>
    <row r="313" spans="1:27" ht="14.25" customHeight="1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</row>
    <row r="314" spans="1:27" ht="14.25" customHeight="1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</row>
    <row r="315" spans="1:27" ht="14.25" customHeight="1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</row>
    <row r="316" spans="1:27" ht="14.25" customHeight="1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</row>
    <row r="317" spans="1:27" ht="14.25" customHeight="1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</row>
    <row r="318" spans="1:27" ht="14.25" customHeight="1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</row>
    <row r="319" spans="1:27" ht="14.25" customHeight="1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</row>
    <row r="320" spans="1:27" ht="14.25" customHeight="1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</row>
    <row r="321" spans="1:27" ht="14.25" customHeight="1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</row>
    <row r="322" spans="1:27" ht="14.25" customHeight="1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</row>
    <row r="323" spans="1:27" ht="14.25" customHeight="1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</row>
    <row r="324" spans="1:27" ht="14.25" customHeight="1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</row>
    <row r="325" spans="1:27" ht="14.25" customHeight="1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</row>
    <row r="326" spans="1:27" ht="14.25" customHeight="1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</row>
    <row r="327" spans="1:27" ht="14.25" customHeight="1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</row>
    <row r="328" spans="1:27" ht="14.25" customHeight="1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</row>
    <row r="329" spans="1:27" ht="14.25" customHeight="1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</row>
    <row r="330" spans="1:27" ht="14.25" customHeight="1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</row>
    <row r="331" spans="1:27" ht="14.25" customHeight="1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</row>
    <row r="332" spans="1:27" ht="14.25" customHeight="1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</row>
    <row r="333" spans="1:27" ht="14.25" customHeight="1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</row>
    <row r="334" spans="1:27" ht="14.25" customHeight="1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</row>
    <row r="335" spans="1:27" ht="14.25" customHeight="1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</row>
    <row r="336" spans="1:27" ht="14.25" customHeight="1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</row>
    <row r="337" spans="1:27" ht="14.25" customHeight="1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</row>
    <row r="338" spans="1:27" ht="14.25" customHeight="1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</row>
    <row r="339" spans="1:27" ht="14.25" customHeight="1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</row>
    <row r="340" spans="1:27" ht="14.25" customHeight="1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</row>
    <row r="341" spans="1:27" ht="14.25" customHeight="1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</row>
    <row r="342" spans="1:27" ht="14.25" customHeight="1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</row>
    <row r="343" spans="1:27" ht="14.25" customHeight="1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</row>
    <row r="344" spans="1:27" ht="14.25" customHeight="1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</row>
    <row r="345" spans="1:27" ht="14.25" customHeight="1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</row>
    <row r="346" spans="1:27" ht="14.25" customHeight="1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</row>
    <row r="347" spans="1:27" ht="14.25" customHeight="1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</row>
    <row r="348" spans="1:27" ht="14.25" customHeight="1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</row>
    <row r="349" spans="1:27" ht="14.25" customHeight="1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</row>
    <row r="350" spans="1:27" ht="14.25" customHeight="1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</row>
    <row r="351" spans="1:27" ht="14.25" customHeight="1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</row>
    <row r="352" spans="1:27" ht="14.25" customHeight="1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</row>
    <row r="353" spans="1:27" ht="14.25" customHeight="1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</row>
    <row r="354" spans="1:27" ht="14.25" customHeight="1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</row>
    <row r="355" spans="1:27" ht="14.25" customHeight="1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</row>
    <row r="356" spans="1:27" ht="14.25" customHeight="1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</row>
    <row r="357" spans="1:27" ht="14.25" customHeight="1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</row>
    <row r="358" spans="1:27" ht="14.25" customHeight="1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</row>
    <row r="359" spans="1:27" ht="14.25" customHeight="1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</row>
    <row r="360" spans="1:27" ht="14.25" customHeight="1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</row>
    <row r="361" spans="1:27" ht="14.25" customHeight="1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</row>
    <row r="362" spans="1:27" ht="14.25" customHeight="1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</row>
    <row r="363" spans="1:27" ht="14.25" customHeight="1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</row>
    <row r="364" spans="1:27" ht="14.25" customHeight="1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</row>
    <row r="365" spans="1:27" ht="14.25" customHeight="1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</row>
    <row r="366" spans="1:27" ht="14.25" customHeight="1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</row>
    <row r="367" spans="1:27" ht="14.25" customHeight="1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</row>
    <row r="368" spans="1:27" ht="14.25" customHeight="1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</row>
    <row r="369" spans="1:27" ht="14.25" customHeight="1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</row>
    <row r="370" spans="1:27" ht="14.25" customHeight="1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</row>
    <row r="371" spans="1:27" ht="14.25" customHeight="1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</row>
    <row r="372" spans="1:27" ht="14.25" customHeight="1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</row>
    <row r="373" spans="1:27" ht="14.25" customHeight="1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</row>
    <row r="374" spans="1:27" ht="14.25" customHeight="1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</row>
    <row r="375" spans="1:27" ht="14.25" customHeight="1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</row>
    <row r="376" spans="1:27" ht="14.25" customHeight="1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</row>
    <row r="377" spans="1:27" ht="14.25" customHeight="1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</row>
    <row r="378" spans="1:27" ht="14.25" customHeight="1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</row>
    <row r="379" spans="1:27" ht="14.25" customHeight="1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</row>
    <row r="380" spans="1:27" ht="14.25" customHeight="1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</row>
    <row r="381" spans="1:27" ht="14.25" customHeight="1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</row>
    <row r="382" spans="1:27" ht="14.25" customHeight="1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</row>
    <row r="383" spans="1:27" ht="14.25" customHeight="1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</row>
    <row r="384" spans="1:27" ht="14.25" customHeight="1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</row>
    <row r="385" spans="1:27" ht="14.25" customHeight="1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</row>
    <row r="386" spans="1:27" ht="14.25" customHeight="1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</row>
    <row r="387" spans="1:27" ht="14.25" customHeight="1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</row>
    <row r="388" spans="1:27" ht="14.25" customHeight="1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</row>
    <row r="389" spans="1:27" ht="14.25" customHeight="1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</row>
    <row r="390" spans="1:27" ht="14.25" customHeight="1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</row>
    <row r="391" spans="1:27" ht="14.25" customHeight="1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</row>
    <row r="392" spans="1:27" ht="14.25" customHeight="1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</row>
    <row r="393" spans="1:27" ht="14.25" customHeight="1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</row>
    <row r="394" spans="1:27" ht="14.25" customHeight="1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</row>
    <row r="395" spans="1:27" ht="14.25" customHeight="1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</row>
    <row r="396" spans="1:27" ht="14.25" customHeight="1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</row>
    <row r="397" spans="1:27" ht="14.25" customHeight="1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</row>
    <row r="398" spans="1:27" ht="14.25" customHeight="1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</row>
    <row r="399" spans="1:27" ht="14.25" customHeight="1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</row>
    <row r="400" spans="1:27" ht="14.25" customHeight="1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</row>
    <row r="401" spans="1:27" ht="14.25" customHeight="1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</row>
    <row r="402" spans="1:27" ht="14.25" customHeight="1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</row>
    <row r="403" spans="1:27" ht="14.25" customHeight="1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</row>
    <row r="404" spans="1:27" ht="14.25" customHeight="1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</row>
    <row r="405" spans="1:27" ht="14.25" customHeight="1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</row>
    <row r="406" spans="1:27" ht="14.25" customHeight="1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</row>
    <row r="407" spans="1:27" ht="14.25" customHeight="1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</row>
    <row r="408" spans="1:27" ht="14.25" customHeight="1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</row>
    <row r="409" spans="1:27" ht="14.25" customHeight="1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</row>
    <row r="410" spans="1:27" ht="14.25" customHeight="1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</row>
    <row r="411" spans="1:27" ht="14.25" customHeight="1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</row>
    <row r="412" spans="1:27" ht="14.25" customHeight="1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</row>
    <row r="413" spans="1:27" ht="14.25" customHeight="1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</row>
    <row r="414" spans="1:27" ht="14.25" customHeight="1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</row>
    <row r="415" spans="1:27" ht="14.25" customHeight="1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</row>
    <row r="416" spans="1:27" ht="14.25" customHeight="1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</row>
    <row r="417" spans="1:27" ht="14.25" customHeight="1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</row>
    <row r="418" spans="1:27" ht="14.25" customHeight="1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</row>
    <row r="419" spans="1:27" ht="14.25" customHeight="1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</row>
    <row r="420" spans="1:27" ht="14.25" customHeight="1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</row>
    <row r="421" spans="1:27" ht="14.25" customHeight="1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</row>
    <row r="422" spans="1:27" ht="14.25" customHeight="1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</row>
    <row r="423" spans="1:27" ht="14.25" customHeight="1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</row>
    <row r="424" spans="1:27" ht="14.25" customHeight="1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</row>
    <row r="425" spans="1:27" ht="14.25" customHeight="1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</row>
    <row r="426" spans="1:27" ht="14.25" customHeight="1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</row>
    <row r="427" spans="1:27" ht="14.25" customHeight="1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</row>
    <row r="428" spans="1:27" ht="14.25" customHeight="1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</row>
    <row r="429" spans="1:27" ht="14.25" customHeight="1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</row>
    <row r="430" spans="1:27" ht="14.25" customHeight="1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</row>
    <row r="431" spans="1:27" ht="14.25" customHeight="1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</row>
    <row r="432" spans="1:27" ht="14.25" customHeight="1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</row>
    <row r="433" spans="1:27" ht="14.25" customHeight="1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</row>
    <row r="434" spans="1:27" ht="14.25" customHeight="1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</row>
    <row r="435" spans="1:27" ht="14.25" customHeight="1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</row>
    <row r="436" spans="1:27" ht="14.25" customHeight="1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</row>
    <row r="437" spans="1:27" ht="14.25" customHeight="1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</row>
    <row r="438" spans="1:27" ht="14.25" customHeight="1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</row>
    <row r="439" spans="1:27" ht="14.25" customHeight="1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</row>
    <row r="440" spans="1:27" ht="14.25" customHeight="1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</row>
    <row r="441" spans="1:27" ht="14.25" customHeight="1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</row>
    <row r="442" spans="1:27" ht="14.25" customHeight="1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</row>
    <row r="443" spans="1:27" ht="14.25" customHeight="1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</row>
    <row r="444" spans="1:27" ht="14.25" customHeight="1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</row>
    <row r="445" spans="1:27" ht="14.25" customHeight="1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</row>
    <row r="446" spans="1:27" ht="14.25" customHeight="1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</row>
    <row r="447" spans="1:27" ht="14.25" customHeight="1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</row>
    <row r="448" spans="1:27" ht="14.25" customHeight="1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</row>
    <row r="449" spans="1:27" ht="14.25" customHeight="1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</row>
    <row r="450" spans="1:27" ht="14.25" customHeight="1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</row>
    <row r="451" spans="1:27" ht="14.25" customHeight="1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</row>
    <row r="452" spans="1:27" ht="14.25" customHeight="1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</row>
    <row r="453" spans="1:27" ht="14.25" customHeight="1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</row>
    <row r="454" spans="1:27" ht="14.25" customHeight="1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</row>
    <row r="455" spans="1:27" ht="14.25" customHeight="1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</row>
    <row r="456" spans="1:27" ht="14.25" customHeight="1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</row>
    <row r="457" spans="1:27" ht="14.25" customHeight="1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</row>
    <row r="458" spans="1:27" ht="14.25" customHeight="1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</row>
    <row r="459" spans="1:27" ht="14.25" customHeight="1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</row>
    <row r="460" spans="1:27" ht="14.25" customHeight="1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</row>
    <row r="461" spans="1:27" ht="14.25" customHeight="1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</row>
    <row r="462" spans="1:27" ht="14.25" customHeight="1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</row>
    <row r="463" spans="1:27" ht="14.25" customHeight="1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</row>
    <row r="464" spans="1:27" ht="14.25" customHeight="1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</row>
    <row r="465" spans="1:27" ht="14.25" customHeight="1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</row>
    <row r="466" spans="1:27" ht="14.25" customHeight="1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</row>
    <row r="467" spans="1:27" ht="14.25" customHeight="1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</row>
    <row r="468" spans="1:27" ht="14.25" customHeight="1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</row>
    <row r="469" spans="1:27" ht="14.25" customHeight="1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</row>
    <row r="470" spans="1:27" ht="14.25" customHeight="1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</row>
    <row r="471" spans="1:27" ht="14.25" customHeight="1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</row>
    <row r="472" spans="1:27" ht="14.25" customHeight="1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</row>
    <row r="473" spans="1:27" ht="14.25" customHeight="1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</row>
    <row r="474" spans="1:27" ht="14.25" customHeight="1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</row>
    <row r="475" spans="1:27" ht="14.25" customHeight="1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</row>
    <row r="476" spans="1:27" ht="14.25" customHeight="1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</row>
    <row r="477" spans="1:27" ht="14.25" customHeight="1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</row>
    <row r="478" spans="1:27" ht="14.25" customHeight="1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</row>
    <row r="479" spans="1:27" ht="14.25" customHeight="1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</row>
    <row r="480" spans="1:27" ht="14.25" customHeight="1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</row>
    <row r="481" spans="1:27" ht="14.25" customHeight="1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</row>
    <row r="482" spans="1:27" ht="14.25" customHeight="1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</row>
    <row r="483" spans="1:27" ht="14.25" customHeight="1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</row>
    <row r="484" spans="1:27" ht="14.25" customHeight="1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</row>
    <row r="485" spans="1:27" ht="14.25" customHeight="1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</row>
    <row r="486" spans="1:27" ht="14.25" customHeight="1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</row>
    <row r="487" spans="1:27" ht="14.25" customHeight="1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</row>
    <row r="488" spans="1:27" ht="14.25" customHeight="1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</row>
    <row r="489" spans="1:27" ht="14.25" customHeight="1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</row>
    <row r="490" spans="1:27" ht="14.25" customHeight="1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</row>
    <row r="491" spans="1:27" ht="14.25" customHeight="1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</row>
    <row r="492" spans="1:27" ht="14.25" customHeight="1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</row>
    <row r="493" spans="1:27" ht="14.25" customHeight="1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</row>
    <row r="494" spans="1:27" ht="14.25" customHeight="1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</row>
    <row r="495" spans="1:27" ht="14.25" customHeight="1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</row>
    <row r="496" spans="1:27" ht="14.25" customHeight="1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</row>
    <row r="497" spans="1:27" ht="14.25" customHeight="1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</row>
    <row r="498" spans="1:27" ht="14.25" customHeight="1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</row>
    <row r="499" spans="1:27" ht="14.25" customHeight="1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</row>
    <row r="500" spans="1:27" ht="14.25" customHeight="1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</row>
    <row r="501" spans="1:27" ht="14.25" customHeight="1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</row>
    <row r="502" spans="1:27" ht="14.25" customHeight="1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</row>
    <row r="503" spans="1:27" ht="14.25" customHeight="1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</row>
    <row r="504" spans="1:27" ht="14.25" customHeight="1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</row>
    <row r="505" spans="1:27" ht="14.25" customHeight="1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</row>
    <row r="506" spans="1:27" ht="14.25" customHeight="1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</row>
    <row r="507" spans="1:27" ht="14.25" customHeight="1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</row>
    <row r="508" spans="1:27" ht="14.25" customHeight="1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</row>
    <row r="509" spans="1:27" ht="14.25" customHeight="1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</row>
    <row r="510" spans="1:27" ht="14.25" customHeight="1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</row>
    <row r="511" spans="1:27" ht="14.25" customHeight="1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</row>
    <row r="512" spans="1:27" ht="14.25" customHeight="1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</row>
    <row r="513" spans="1:27" ht="14.25" customHeight="1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</row>
    <row r="514" spans="1:27" ht="14.25" customHeight="1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</row>
    <row r="515" spans="1:27" ht="14.25" customHeight="1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</row>
    <row r="516" spans="1:27" ht="14.25" customHeight="1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</row>
    <row r="517" spans="1:27" ht="14.25" customHeight="1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</row>
    <row r="518" spans="1:27" ht="14.25" customHeight="1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</row>
    <row r="519" spans="1:27" ht="14.25" customHeight="1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</row>
    <row r="520" spans="1:27" ht="14.25" customHeight="1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</row>
    <row r="521" spans="1:27" ht="14.25" customHeight="1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</row>
    <row r="522" spans="1:27" ht="14.25" customHeight="1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</row>
    <row r="523" spans="1:27" ht="14.25" customHeight="1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</row>
    <row r="524" spans="1:27" ht="14.25" customHeight="1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</row>
    <row r="525" spans="1:27" ht="14.25" customHeight="1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</row>
    <row r="526" spans="1:27" ht="14.25" customHeight="1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</row>
    <row r="527" spans="1:27" ht="14.25" customHeight="1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</row>
    <row r="528" spans="1:27" ht="14.25" customHeight="1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</row>
    <row r="529" spans="1:27" ht="14.25" customHeight="1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</row>
    <row r="530" spans="1:27" ht="14.25" customHeight="1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</row>
    <row r="531" spans="1:27" ht="14.25" customHeight="1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</row>
    <row r="532" spans="1:27" ht="14.25" customHeight="1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</row>
    <row r="533" spans="1:27" ht="14.25" customHeight="1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</row>
    <row r="534" spans="1:27" ht="14.25" customHeight="1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</row>
    <row r="535" spans="1:27" ht="14.25" customHeight="1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</row>
    <row r="536" spans="1:27" ht="14.25" customHeight="1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</row>
    <row r="537" spans="1:27" ht="14.25" customHeight="1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</row>
    <row r="538" spans="1:27" ht="14.25" customHeight="1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</row>
    <row r="539" spans="1:27" ht="14.25" customHeight="1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</row>
    <row r="540" spans="1:27" ht="14.25" customHeight="1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</row>
    <row r="541" spans="1:27" ht="14.25" customHeight="1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</row>
    <row r="542" spans="1:27" ht="14.25" customHeight="1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</row>
    <row r="543" spans="1:27" ht="14.25" customHeight="1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</row>
    <row r="544" spans="1:27" ht="14.25" customHeight="1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</row>
    <row r="545" spans="1:27" ht="14.25" customHeight="1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</row>
    <row r="546" spans="1:27" ht="14.25" customHeight="1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</row>
    <row r="547" spans="1:27" ht="14.25" customHeight="1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</row>
    <row r="548" spans="1:27" ht="14.25" customHeight="1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</row>
    <row r="549" spans="1:27" ht="14.25" customHeight="1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</row>
    <row r="550" spans="1:27" ht="14.25" customHeight="1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</row>
    <row r="551" spans="1:27" ht="14.25" customHeight="1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</row>
    <row r="552" spans="1:27" ht="14.25" customHeight="1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</row>
    <row r="553" spans="1:27" ht="14.25" customHeight="1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</row>
    <row r="554" spans="1:27" ht="14.25" customHeight="1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</row>
    <row r="555" spans="1:27" ht="14.25" customHeight="1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</row>
    <row r="556" spans="1:27" ht="14.25" customHeight="1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</row>
    <row r="557" spans="1:27" ht="14.25" customHeight="1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</row>
    <row r="558" spans="1:27" ht="14.25" customHeight="1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</row>
    <row r="559" spans="1:27" ht="14.25" customHeight="1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</row>
    <row r="560" spans="1:27" ht="14.25" customHeight="1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</row>
    <row r="561" spans="1:27" ht="14.25" customHeight="1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</row>
    <row r="562" spans="1:27" ht="14.25" customHeight="1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</row>
    <row r="563" spans="1:27" ht="14.25" customHeight="1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</row>
    <row r="564" spans="1:27" ht="14.25" customHeight="1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</row>
    <row r="565" spans="1:27" ht="14.25" customHeight="1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</row>
    <row r="566" spans="1:27" ht="14.25" customHeight="1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</row>
    <row r="567" spans="1:27" ht="14.25" customHeight="1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</row>
    <row r="568" spans="1:27" ht="14.25" customHeight="1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</row>
    <row r="569" spans="1:27" ht="14.25" customHeight="1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</row>
    <row r="570" spans="1:27" ht="14.25" customHeight="1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</row>
    <row r="571" spans="1:27" ht="14.25" customHeight="1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</row>
    <row r="572" spans="1:27" ht="14.25" customHeight="1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</row>
    <row r="573" spans="1:27" ht="14.25" customHeight="1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</row>
    <row r="574" spans="1:27" ht="14.25" customHeight="1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</row>
    <row r="575" spans="1:27" ht="14.25" customHeight="1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</row>
    <row r="576" spans="1:27" ht="14.25" customHeight="1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</row>
    <row r="577" spans="1:27" ht="14.25" customHeight="1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</row>
    <row r="578" spans="1:27" ht="14.25" customHeight="1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</row>
    <row r="579" spans="1:27" ht="14.25" customHeight="1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</row>
    <row r="580" spans="1:27" ht="14.25" customHeight="1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</row>
    <row r="581" spans="1:27" ht="14.25" customHeight="1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</row>
    <row r="582" spans="1:27" ht="14.25" customHeight="1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</row>
    <row r="583" spans="1:27" ht="14.25" customHeight="1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</row>
    <row r="584" spans="1:27" ht="14.25" customHeight="1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</row>
    <row r="585" spans="1:27" ht="14.25" customHeight="1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</row>
    <row r="586" spans="1:27" ht="14.25" customHeight="1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</row>
    <row r="587" spans="1:27" ht="14.25" customHeight="1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</row>
    <row r="588" spans="1:27" ht="14.25" customHeight="1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</row>
    <row r="589" spans="1:27" ht="14.25" customHeight="1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</row>
    <row r="590" spans="1:27" ht="14.25" customHeight="1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</row>
    <row r="591" spans="1:27" ht="14.25" customHeight="1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</row>
    <row r="592" spans="1:27" ht="14.25" customHeight="1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</row>
    <row r="593" spans="1:27" ht="14.25" customHeight="1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</row>
    <row r="594" spans="1:27" ht="14.25" customHeight="1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</row>
    <row r="595" spans="1:27" ht="14.25" customHeight="1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</row>
    <row r="596" spans="1:27" ht="14.25" customHeight="1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</row>
    <row r="597" spans="1:27" ht="14.25" customHeight="1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</row>
    <row r="598" spans="1:27" ht="14.25" customHeight="1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</row>
    <row r="599" spans="1:27" ht="14.25" customHeight="1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</row>
    <row r="600" spans="1:27" ht="14.25" customHeight="1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</row>
    <row r="601" spans="1:27" ht="14.25" customHeight="1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</row>
    <row r="602" spans="1:27" ht="14.25" customHeight="1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</row>
    <row r="603" spans="1:27" ht="14.25" customHeight="1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</row>
    <row r="604" spans="1:27" ht="14.25" customHeight="1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</row>
    <row r="605" spans="1:27" ht="14.25" customHeight="1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</row>
    <row r="606" spans="1:27" ht="14.25" customHeight="1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</row>
    <row r="607" spans="1:27" ht="14.25" customHeight="1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</row>
    <row r="608" spans="1:27" ht="14.25" customHeight="1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</row>
    <row r="609" spans="1:27" ht="14.25" customHeight="1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</row>
    <row r="610" spans="1:27" ht="14.25" customHeight="1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</row>
    <row r="611" spans="1:27" ht="14.25" customHeight="1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</row>
    <row r="612" spans="1:27" ht="14.25" customHeight="1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</row>
    <row r="613" spans="1:27" ht="14.25" customHeight="1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</row>
    <row r="614" spans="1:27" ht="14.25" customHeight="1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</row>
    <row r="615" spans="1:27" ht="14.25" customHeight="1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</row>
    <row r="616" spans="1:27" ht="14.25" customHeight="1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</row>
    <row r="617" spans="1:27" ht="14.25" customHeight="1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</row>
    <row r="618" spans="1:27" ht="14.25" customHeight="1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</row>
    <row r="619" spans="1:27" ht="14.25" customHeight="1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</row>
    <row r="620" spans="1:27" ht="14.25" customHeight="1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</row>
    <row r="621" spans="1:27" ht="14.25" customHeight="1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</row>
    <row r="622" spans="1:27" ht="14.25" customHeight="1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</row>
    <row r="623" spans="1:27" ht="14.25" customHeight="1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</row>
    <row r="624" spans="1:27" ht="14.25" customHeight="1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</row>
    <row r="625" spans="1:27" ht="14.25" customHeight="1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</row>
    <row r="626" spans="1:27" ht="14.25" customHeight="1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</row>
    <row r="627" spans="1:27" ht="14.25" customHeight="1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</row>
    <row r="628" spans="1:27" ht="14.25" customHeight="1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</row>
    <row r="629" spans="1:27" ht="14.25" customHeight="1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</row>
    <row r="630" spans="1:27" ht="14.25" customHeight="1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</row>
    <row r="631" spans="1:27" ht="14.25" customHeight="1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</row>
    <row r="632" spans="1:27" ht="14.25" customHeight="1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</row>
    <row r="633" spans="1:27" ht="14.25" customHeight="1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</row>
    <row r="634" spans="1:27" ht="14.25" customHeight="1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</row>
    <row r="635" spans="1:27" ht="14.25" customHeight="1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</row>
    <row r="636" spans="1:27" ht="14.25" customHeight="1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</row>
    <row r="637" spans="1:27" ht="14.25" customHeight="1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</row>
    <row r="638" spans="1:27" ht="14.25" customHeight="1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</row>
    <row r="639" spans="1:27" ht="14.25" customHeight="1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</row>
    <row r="640" spans="1:27" ht="14.25" customHeight="1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</row>
    <row r="641" spans="1:27" ht="14.25" customHeight="1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</row>
    <row r="642" spans="1:27" ht="14.25" customHeight="1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</row>
    <row r="643" spans="1:27" ht="14.25" customHeight="1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</row>
    <row r="644" spans="1:27" ht="14.25" customHeight="1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</row>
    <row r="645" spans="1:27" ht="14.25" customHeight="1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</row>
    <row r="646" spans="1:27" ht="14.25" customHeight="1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</row>
    <row r="647" spans="1:27" ht="14.25" customHeight="1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</row>
    <row r="648" spans="1:27" ht="14.25" customHeight="1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</row>
    <row r="649" spans="1:27" ht="14.25" customHeight="1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</row>
    <row r="650" spans="1:27" ht="14.25" customHeight="1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</row>
    <row r="651" spans="1:27" ht="14.25" customHeight="1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</row>
    <row r="652" spans="1:27" ht="14.25" customHeight="1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</row>
    <row r="653" spans="1:27" ht="14.25" customHeight="1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</row>
    <row r="654" spans="1:27" ht="14.25" customHeight="1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</row>
    <row r="655" spans="1:27" ht="14.25" customHeight="1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</row>
    <row r="656" spans="1:27" ht="14.25" customHeight="1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</row>
    <row r="657" spans="1:27" ht="14.25" customHeight="1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</row>
    <row r="658" spans="1:27" ht="14.25" customHeight="1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</row>
    <row r="659" spans="1:27" ht="14.25" customHeight="1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</row>
    <row r="660" spans="1:27" ht="14.25" customHeight="1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</row>
    <row r="661" spans="1:27" ht="14.25" customHeight="1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</row>
    <row r="662" spans="1:27" ht="14.25" customHeight="1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</row>
    <row r="663" spans="1:27" ht="14.25" customHeight="1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</row>
    <row r="664" spans="1:27" ht="14.25" customHeight="1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</row>
    <row r="665" spans="1:27" ht="14.25" customHeight="1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</row>
    <row r="666" spans="1:27" ht="14.25" customHeight="1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</row>
    <row r="667" spans="1:27" ht="14.25" customHeight="1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</row>
    <row r="668" spans="1:27" ht="14.25" customHeight="1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</row>
    <row r="669" spans="1:27" ht="14.25" customHeight="1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</row>
    <row r="670" spans="1:27" ht="14.25" customHeight="1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</row>
    <row r="671" spans="1:27" ht="14.25" customHeight="1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</row>
    <row r="672" spans="1:27" ht="14.25" customHeight="1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</row>
    <row r="673" spans="1:27" ht="14.25" customHeight="1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</row>
    <row r="674" spans="1:27" ht="14.25" customHeight="1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</row>
    <row r="675" spans="1:27" ht="14.25" customHeight="1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</row>
    <row r="676" spans="1:27" ht="14.25" customHeight="1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</row>
    <row r="677" spans="1:27" ht="14.25" customHeight="1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</row>
    <row r="678" spans="1:27" ht="14.25" customHeight="1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</row>
    <row r="679" spans="1:27" ht="14.25" customHeight="1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</row>
    <row r="680" spans="1:27" ht="14.25" customHeight="1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</row>
    <row r="681" spans="1:27" ht="14.25" customHeight="1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</row>
    <row r="682" spans="1:27" ht="14.25" customHeight="1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</row>
    <row r="683" spans="1:27" ht="14.25" customHeight="1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</row>
    <row r="684" spans="1:27" ht="14.25" customHeight="1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</row>
    <row r="685" spans="1:27" ht="14.25" customHeight="1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</row>
    <row r="686" spans="1:27" ht="14.25" customHeight="1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</row>
    <row r="687" spans="1:27" ht="14.25" customHeight="1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</row>
    <row r="688" spans="1:27" ht="14.25" customHeight="1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</row>
    <row r="689" spans="1:27" ht="14.25" customHeight="1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</row>
    <row r="690" spans="1:27" ht="14.25" customHeight="1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</row>
    <row r="691" spans="1:27" ht="14.25" customHeight="1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</row>
    <row r="692" spans="1:27" ht="14.25" customHeight="1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</row>
    <row r="693" spans="1:27" ht="14.25" customHeight="1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</row>
    <row r="694" spans="1:27" ht="14.25" customHeight="1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</row>
    <row r="695" spans="1:27" ht="14.25" customHeight="1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</row>
    <row r="696" spans="1:27" ht="14.25" customHeight="1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</row>
    <row r="697" spans="1:27" ht="14.25" customHeight="1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</row>
    <row r="698" spans="1:27" ht="14.25" customHeight="1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</row>
    <row r="699" spans="1:27" ht="14.25" customHeight="1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</row>
    <row r="700" spans="1:27" ht="14.25" customHeight="1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</row>
    <row r="701" spans="1:27" ht="14.25" customHeight="1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</row>
    <row r="702" spans="1:27" ht="14.25" customHeight="1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</row>
    <row r="703" spans="1:27" ht="14.25" customHeight="1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</row>
    <row r="704" spans="1:27" ht="14.25" customHeight="1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</row>
    <row r="705" spans="1:27" ht="14.25" customHeight="1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</row>
    <row r="706" spans="1:27" ht="14.25" customHeight="1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</row>
    <row r="707" spans="1:27" ht="14.25" customHeight="1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</row>
    <row r="708" spans="1:27" ht="14.25" customHeight="1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</row>
    <row r="709" spans="1:27" ht="14.25" customHeight="1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</row>
    <row r="710" spans="1:27" ht="14.25" customHeight="1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</row>
    <row r="711" spans="1:27" ht="14.25" customHeight="1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</row>
    <row r="712" spans="1:27" ht="14.25" customHeight="1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</row>
    <row r="713" spans="1:27" ht="14.25" customHeight="1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</row>
    <row r="714" spans="1:27" ht="14.25" customHeight="1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</row>
    <row r="715" spans="1:27" ht="14.25" customHeight="1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</row>
    <row r="716" spans="1:27" ht="14.25" customHeight="1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</row>
    <row r="717" spans="1:27" ht="14.25" customHeight="1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</row>
    <row r="718" spans="1:27" ht="14.25" customHeight="1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</row>
    <row r="719" spans="1:27" ht="14.25" customHeight="1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</row>
    <row r="720" spans="1:27" ht="14.25" customHeight="1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</row>
    <row r="721" spans="1:27" ht="14.25" customHeight="1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</row>
    <row r="722" spans="1:27" ht="14.25" customHeight="1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</row>
    <row r="723" spans="1:27" ht="14.25" customHeight="1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</row>
    <row r="724" spans="1:27" ht="14.25" customHeight="1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</row>
    <row r="725" spans="1:27" ht="14.25" customHeight="1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</row>
    <row r="726" spans="1:27" ht="14.25" customHeight="1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</row>
    <row r="727" spans="1:27" ht="14.25" customHeight="1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</row>
    <row r="728" spans="1:27" ht="14.25" customHeight="1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</row>
    <row r="729" spans="1:27" ht="14.25" customHeight="1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</row>
    <row r="730" spans="1:27" ht="14.25" customHeight="1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</row>
    <row r="731" spans="1:27" ht="14.25" customHeight="1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</row>
    <row r="732" spans="1:27" ht="14.25" customHeight="1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</row>
    <row r="733" spans="1:27" ht="14.25" customHeight="1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</row>
    <row r="734" spans="1:27" ht="14.25" customHeight="1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</row>
    <row r="735" spans="1:27" ht="14.25" customHeight="1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</row>
    <row r="736" spans="1:27" ht="14.25" customHeight="1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</row>
    <row r="737" spans="1:27" ht="14.25" customHeight="1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</row>
    <row r="738" spans="1:27" ht="14.25" customHeight="1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</row>
    <row r="739" spans="1:27" ht="14.25" customHeight="1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</row>
    <row r="740" spans="1:27" ht="14.25" customHeight="1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</row>
    <row r="741" spans="1:27" ht="14.25" customHeight="1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</row>
    <row r="742" spans="1:27" ht="14.25" customHeight="1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</row>
    <row r="743" spans="1:27" ht="14.25" customHeight="1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</row>
    <row r="744" spans="1:27" ht="14.25" customHeight="1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</row>
    <row r="745" spans="1:27" ht="14.25" customHeight="1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</row>
    <row r="746" spans="1:27" ht="14.25" customHeight="1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</row>
    <row r="747" spans="1:27" ht="14.25" customHeight="1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</row>
    <row r="748" spans="1:27" ht="14.25" customHeight="1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</row>
    <row r="749" spans="1:27" ht="14.25" customHeight="1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</row>
    <row r="750" spans="1:27" ht="14.25" customHeight="1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</row>
    <row r="751" spans="1:27" ht="14.25" customHeight="1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</row>
    <row r="752" spans="1:27" ht="14.25" customHeight="1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</row>
    <row r="753" spans="1:27" ht="14.25" customHeight="1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</row>
    <row r="754" spans="1:27" ht="14.25" customHeight="1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</row>
    <row r="755" spans="1:27" ht="14.25" customHeight="1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</row>
    <row r="756" spans="1:27" ht="14.25" customHeight="1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</row>
    <row r="757" spans="1:27" ht="14.25" customHeight="1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</row>
    <row r="758" spans="1:27" ht="14.25" customHeight="1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</row>
    <row r="759" spans="1:27" ht="14.25" customHeight="1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</row>
    <row r="760" spans="1:27" ht="14.25" customHeight="1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</row>
    <row r="761" spans="1:27" ht="14.25" customHeight="1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</row>
    <row r="762" spans="1:27" ht="14.25" customHeight="1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</row>
    <row r="763" spans="1:27" ht="14.25" customHeight="1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</row>
    <row r="764" spans="1:27" ht="14.25" customHeight="1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</row>
    <row r="765" spans="1:27" ht="14.25" customHeight="1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</row>
    <row r="766" spans="1:27" ht="14.25" customHeight="1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</row>
    <row r="767" spans="1:27" ht="14.25" customHeight="1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</row>
    <row r="768" spans="1:27" ht="14.25" customHeight="1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</row>
    <row r="769" spans="1:27" ht="14.25" customHeight="1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</row>
    <row r="770" spans="1:27" ht="14.25" customHeight="1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</row>
    <row r="771" spans="1:27" ht="14.25" customHeight="1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</row>
    <row r="772" spans="1:27" ht="14.25" customHeight="1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</row>
    <row r="773" spans="1:27" ht="14.25" customHeight="1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</row>
    <row r="774" spans="1:27" ht="14.25" customHeight="1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</row>
    <row r="775" spans="1:27" ht="14.25" customHeight="1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</row>
    <row r="776" spans="1:27" ht="14.25" customHeight="1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</row>
    <row r="777" spans="1:27" ht="14.25" customHeight="1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</row>
    <row r="778" spans="1:27" ht="14.25" customHeight="1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</row>
    <row r="779" spans="1:27" ht="14.25" customHeight="1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</row>
    <row r="780" spans="1:27" ht="14.25" customHeight="1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</row>
    <row r="781" spans="1:27" ht="14.25" customHeight="1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/>
    </row>
    <row r="782" spans="1:27" ht="14.25" customHeight="1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</row>
    <row r="783" spans="1:27" ht="14.25" customHeight="1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</row>
    <row r="784" spans="1:27" ht="14.25" customHeight="1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</row>
    <row r="785" spans="1:27" ht="14.25" customHeight="1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/>
    </row>
    <row r="786" spans="1:27" ht="14.25" customHeight="1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  <c r="AA786" s="5"/>
    </row>
    <row r="787" spans="1:27" ht="14.25" customHeight="1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  <c r="AA787" s="5"/>
    </row>
    <row r="788" spans="1:27" ht="14.25" customHeight="1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  <c r="AA788" s="5"/>
    </row>
    <row r="789" spans="1:27" ht="14.25" customHeight="1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  <c r="AA789" s="5"/>
    </row>
    <row r="790" spans="1:27" ht="14.25" customHeight="1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  <c r="AA790" s="5"/>
    </row>
    <row r="791" spans="1:27" ht="14.25" customHeight="1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  <c r="AA791" s="5"/>
    </row>
    <row r="792" spans="1:27" ht="14.25" customHeight="1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  <c r="AA792" s="5"/>
    </row>
    <row r="793" spans="1:27" ht="14.25" customHeight="1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  <c r="AA793" s="5"/>
    </row>
    <row r="794" spans="1:27" ht="14.25" customHeight="1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  <c r="AA794" s="5"/>
    </row>
    <row r="795" spans="1:27" ht="14.25" customHeight="1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  <c r="AA795" s="5"/>
    </row>
    <row r="796" spans="1:27" ht="14.25" customHeight="1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  <c r="AA796" s="5"/>
    </row>
    <row r="797" spans="1:27" ht="14.25" customHeight="1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  <c r="AA797" s="5"/>
    </row>
    <row r="798" spans="1:27" ht="14.25" customHeight="1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  <c r="AA798" s="5"/>
    </row>
    <row r="799" spans="1:27" ht="14.25" customHeight="1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  <c r="AA799" s="5"/>
    </row>
    <row r="800" spans="1:27" ht="14.25" customHeight="1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  <c r="AA800" s="5"/>
    </row>
    <row r="801" spans="1:27" ht="14.25" customHeight="1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  <c r="AA801" s="5"/>
    </row>
    <row r="802" spans="1:27" ht="14.25" customHeight="1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  <c r="AA802" s="5"/>
    </row>
    <row r="803" spans="1:27" ht="14.25" customHeight="1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  <c r="AA803" s="5"/>
    </row>
    <row r="804" spans="1:27" ht="14.25" customHeight="1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  <c r="AA804" s="5"/>
    </row>
    <row r="805" spans="1:27" ht="14.25" customHeight="1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  <c r="AA805" s="5"/>
    </row>
    <row r="806" spans="1:27" ht="14.25" customHeight="1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  <c r="AA806" s="5"/>
    </row>
    <row r="807" spans="1:27" ht="14.25" customHeight="1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  <c r="AA807" s="5"/>
    </row>
    <row r="808" spans="1:27" ht="14.25" customHeight="1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  <c r="AA808" s="5"/>
    </row>
    <row r="809" spans="1:27" ht="14.25" customHeight="1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  <c r="AA809" s="5"/>
    </row>
    <row r="810" spans="1:27" ht="14.25" customHeight="1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  <c r="AA810" s="5"/>
    </row>
    <row r="811" spans="1:27" ht="14.25" customHeight="1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  <c r="AA811" s="5"/>
    </row>
    <row r="812" spans="1:27" ht="14.25" customHeight="1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  <c r="AA812" s="5"/>
    </row>
    <row r="813" spans="1:27" ht="14.25" customHeight="1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  <c r="AA813" s="5"/>
    </row>
    <row r="814" spans="1:27" ht="14.25" customHeight="1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  <c r="AA814" s="5"/>
    </row>
    <row r="815" spans="1:27" ht="14.25" customHeight="1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  <c r="AA815" s="5"/>
    </row>
    <row r="816" spans="1:27" ht="14.25" customHeight="1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  <c r="AA816" s="5"/>
    </row>
    <row r="817" spans="1:27" ht="14.25" customHeight="1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  <c r="AA817" s="5"/>
    </row>
    <row r="818" spans="1:27" ht="14.25" customHeight="1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  <c r="AA818" s="5"/>
    </row>
    <row r="819" spans="1:27" ht="14.25" customHeight="1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  <c r="AA819" s="5"/>
    </row>
    <row r="820" spans="1:27" ht="14.25" customHeight="1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  <c r="AA820" s="5"/>
    </row>
    <row r="821" spans="1:27" ht="14.25" customHeight="1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  <c r="AA821" s="5"/>
    </row>
    <row r="822" spans="1:27" ht="14.25" customHeight="1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  <c r="AA822" s="5"/>
    </row>
    <row r="823" spans="1:27" ht="14.25" customHeight="1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  <c r="AA823" s="5"/>
    </row>
    <row r="824" spans="1:27" ht="14.25" customHeight="1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  <c r="AA824" s="5"/>
    </row>
    <row r="825" spans="1:27" ht="14.25" customHeight="1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  <c r="AA825" s="5"/>
    </row>
    <row r="826" spans="1:27" ht="14.25" customHeight="1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  <c r="AA826" s="5"/>
    </row>
    <row r="827" spans="1:27" ht="14.25" customHeight="1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  <c r="AA827" s="5"/>
    </row>
    <row r="828" spans="1:27" ht="14.25" customHeight="1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  <c r="AA828" s="5"/>
    </row>
    <row r="829" spans="1:27" ht="14.25" customHeight="1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  <c r="AA829" s="5"/>
    </row>
    <row r="830" spans="1:27" ht="14.25" customHeight="1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  <c r="AA830" s="5"/>
    </row>
    <row r="831" spans="1:27" ht="14.25" customHeight="1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  <c r="AA831" s="5"/>
    </row>
    <row r="832" spans="1:27" ht="14.25" customHeight="1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  <c r="AA832" s="5"/>
    </row>
    <row r="833" spans="1:27" ht="14.25" customHeight="1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  <c r="AA833" s="5"/>
    </row>
    <row r="834" spans="1:27" ht="14.25" customHeight="1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  <c r="AA834" s="5"/>
    </row>
    <row r="835" spans="1:27" ht="14.25" customHeight="1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  <c r="AA835" s="5"/>
    </row>
    <row r="836" spans="1:27" ht="14.25" customHeight="1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  <c r="AA836" s="5"/>
    </row>
    <row r="837" spans="1:27" ht="14.25" customHeight="1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  <c r="AA837" s="5"/>
    </row>
    <row r="838" spans="1:27" ht="14.25" customHeight="1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  <c r="AA838" s="5"/>
    </row>
    <row r="839" spans="1:27" ht="14.25" customHeight="1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  <c r="AA839" s="5"/>
    </row>
    <row r="840" spans="1:27" ht="14.25" customHeight="1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  <c r="AA840" s="5"/>
    </row>
    <row r="841" spans="1:27" ht="14.25" customHeight="1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  <c r="AA841" s="5"/>
    </row>
    <row r="842" spans="1:27" ht="14.25" customHeight="1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  <c r="AA842" s="5"/>
    </row>
    <row r="843" spans="1:27" ht="14.25" customHeight="1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  <c r="AA843" s="5"/>
    </row>
    <row r="844" spans="1:27" ht="14.25" customHeight="1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  <c r="AA844" s="5"/>
    </row>
    <row r="845" spans="1:27" ht="14.25" customHeight="1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  <c r="AA845" s="5"/>
    </row>
    <row r="846" spans="1:27" ht="14.25" customHeight="1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  <c r="AA846" s="5"/>
    </row>
    <row r="847" spans="1:27" ht="14.25" customHeight="1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  <c r="AA847" s="5"/>
    </row>
    <row r="848" spans="1:27" ht="14.25" customHeight="1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  <c r="AA848" s="5"/>
    </row>
    <row r="849" spans="1:27" ht="14.25" customHeight="1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  <c r="AA849" s="5"/>
    </row>
    <row r="850" spans="1:27" ht="14.25" customHeight="1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  <c r="AA850" s="5"/>
    </row>
    <row r="851" spans="1:27" ht="14.25" customHeight="1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  <c r="AA851" s="5"/>
    </row>
    <row r="852" spans="1:27" ht="14.25" customHeight="1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  <c r="AA852" s="5"/>
    </row>
    <row r="853" spans="1:27" ht="14.25" customHeight="1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  <c r="AA853" s="5"/>
    </row>
    <row r="854" spans="1:27" ht="14.25" customHeight="1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  <c r="AA854" s="5"/>
    </row>
    <row r="855" spans="1:27" ht="14.25" customHeight="1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  <c r="AA855" s="5"/>
    </row>
    <row r="856" spans="1:27" ht="14.25" customHeight="1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  <c r="AA856" s="5"/>
    </row>
    <row r="857" spans="1:27" ht="14.25" customHeight="1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  <c r="AA857" s="5"/>
    </row>
    <row r="858" spans="1:27" ht="14.25" customHeight="1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  <c r="AA858" s="5"/>
    </row>
    <row r="859" spans="1:27" ht="14.25" customHeight="1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  <c r="AA859" s="5"/>
    </row>
    <row r="860" spans="1:27" ht="14.25" customHeight="1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  <c r="AA860" s="5"/>
    </row>
    <row r="861" spans="1:27" ht="14.25" customHeight="1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  <c r="AA861" s="5"/>
    </row>
    <row r="862" spans="1:27" ht="14.25" customHeight="1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  <c r="AA862" s="5"/>
    </row>
    <row r="863" spans="1:27" ht="14.25" customHeight="1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  <c r="AA863" s="5"/>
    </row>
    <row r="864" spans="1:27" ht="14.25" customHeight="1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  <c r="AA864" s="5"/>
    </row>
    <row r="865" spans="1:27" ht="14.25" customHeight="1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  <c r="AA865" s="5"/>
    </row>
    <row r="866" spans="1:27" ht="14.25" customHeight="1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  <c r="AA866" s="5"/>
    </row>
    <row r="867" spans="1:27" ht="14.25" customHeight="1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  <c r="AA867" s="5"/>
    </row>
    <row r="868" spans="1:27" ht="14.25" customHeight="1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  <c r="AA868" s="5"/>
    </row>
    <row r="869" spans="1:27" ht="14.25" customHeight="1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  <c r="AA869" s="5"/>
    </row>
    <row r="870" spans="1:27" ht="14.25" customHeight="1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  <c r="AA870" s="5"/>
    </row>
    <row r="871" spans="1:27" ht="14.25" customHeight="1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  <c r="AA871" s="5"/>
    </row>
    <row r="872" spans="1:27" ht="14.25" customHeight="1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  <c r="AA872" s="5"/>
    </row>
    <row r="873" spans="1:27" ht="14.25" customHeight="1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  <c r="AA873" s="5"/>
    </row>
    <row r="874" spans="1:27" ht="14.25" customHeight="1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  <c r="AA874" s="5"/>
    </row>
    <row r="875" spans="1:27" ht="14.25" customHeight="1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  <c r="AA875" s="5"/>
    </row>
    <row r="876" spans="1:27" ht="14.25" customHeight="1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  <c r="AA876" s="5"/>
    </row>
    <row r="877" spans="1:27" ht="14.25" customHeight="1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  <c r="AA877" s="5"/>
    </row>
    <row r="878" spans="1:27" ht="14.25" customHeight="1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  <c r="AA878" s="5"/>
    </row>
    <row r="879" spans="1:27" ht="14.25" customHeight="1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  <c r="AA879" s="5"/>
    </row>
    <row r="880" spans="1:27" ht="14.25" customHeight="1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  <c r="AA880" s="5"/>
    </row>
    <row r="881" spans="1:27" ht="14.25" customHeight="1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  <c r="AA881" s="5"/>
    </row>
    <row r="882" spans="1:27" ht="14.25" customHeight="1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  <c r="AA882" s="5"/>
    </row>
    <row r="883" spans="1:27" ht="14.25" customHeight="1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  <c r="AA883" s="5"/>
    </row>
    <row r="884" spans="1:27" ht="14.25" customHeight="1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  <c r="AA884" s="5"/>
    </row>
    <row r="885" spans="1:27" ht="14.25" customHeight="1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  <c r="AA885" s="5"/>
    </row>
    <row r="886" spans="1:27" ht="14.25" customHeight="1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  <c r="AA886" s="5"/>
    </row>
    <row r="887" spans="1:27" ht="14.25" customHeight="1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  <c r="AA887" s="5"/>
    </row>
    <row r="888" spans="1:27" ht="14.25" customHeight="1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  <c r="AA888" s="5"/>
    </row>
    <row r="889" spans="1:27" ht="14.25" customHeight="1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  <c r="AA889" s="5"/>
    </row>
    <row r="890" spans="1:27" ht="14.25" customHeight="1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  <c r="AA890" s="5"/>
    </row>
    <row r="891" spans="1:27" ht="14.25" customHeight="1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  <c r="AA891" s="5"/>
    </row>
    <row r="892" spans="1:27" ht="14.25" customHeight="1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  <c r="AA892" s="5"/>
    </row>
    <row r="893" spans="1:27" ht="14.25" customHeight="1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  <c r="AA893" s="5"/>
    </row>
    <row r="894" spans="1:27" ht="14.25" customHeight="1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  <c r="AA894" s="5"/>
    </row>
    <row r="895" spans="1:27" ht="14.25" customHeight="1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  <c r="AA895" s="5"/>
    </row>
    <row r="896" spans="1:27" ht="14.25" customHeight="1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  <c r="AA896" s="5"/>
    </row>
    <row r="897" spans="1:27" ht="14.25" customHeight="1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  <c r="AA897" s="5"/>
    </row>
    <row r="898" spans="1:27" ht="14.25" customHeight="1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  <c r="AA898" s="5"/>
    </row>
    <row r="899" spans="1:27" ht="14.25" customHeight="1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  <c r="AA899" s="5"/>
    </row>
    <row r="900" spans="1:27" ht="14.25" customHeight="1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  <c r="AA900" s="5"/>
    </row>
    <row r="901" spans="1:27" ht="14.25" customHeight="1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  <c r="AA901" s="5"/>
    </row>
    <row r="902" spans="1:27" ht="14.25" customHeight="1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  <c r="AA902" s="5"/>
    </row>
    <row r="903" spans="1:27" ht="14.25" customHeight="1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  <c r="AA903" s="5"/>
    </row>
    <row r="904" spans="1:27" ht="14.25" customHeight="1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  <c r="AA904" s="5"/>
    </row>
    <row r="905" spans="1:27" ht="14.25" customHeight="1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  <c r="AA905" s="5"/>
    </row>
    <row r="906" spans="1:27" ht="14.25" customHeight="1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  <c r="AA906" s="5"/>
    </row>
    <row r="907" spans="1:27" ht="14.25" customHeight="1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  <c r="AA907" s="5"/>
    </row>
    <row r="908" spans="1:27" ht="14.25" customHeight="1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  <c r="AA908" s="5"/>
    </row>
    <row r="909" spans="1:27" ht="14.25" customHeight="1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  <c r="AA909" s="5"/>
    </row>
    <row r="910" spans="1:27" ht="14.25" customHeight="1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  <c r="AA910" s="5"/>
    </row>
    <row r="911" spans="1:27" ht="14.25" customHeight="1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  <c r="AA911" s="5"/>
    </row>
    <row r="912" spans="1:27" ht="14.25" customHeight="1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  <c r="AA912" s="5"/>
    </row>
    <row r="913" spans="1:27" ht="14.25" customHeight="1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  <c r="AA913" s="5"/>
    </row>
    <row r="914" spans="1:27" ht="14.25" customHeight="1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  <c r="AA914" s="5"/>
    </row>
    <row r="915" spans="1:27" ht="14.25" customHeight="1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  <c r="AA915" s="5"/>
    </row>
    <row r="916" spans="1:27" ht="14.25" customHeight="1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  <c r="AA916" s="5"/>
    </row>
    <row r="917" spans="1:27" ht="14.25" customHeight="1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  <c r="AA917" s="5"/>
    </row>
    <row r="918" spans="1:27" ht="14.25" customHeight="1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  <c r="AA918" s="5"/>
    </row>
    <row r="919" spans="1:27" ht="14.25" customHeight="1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  <c r="AA919" s="5"/>
    </row>
    <row r="920" spans="1:27" ht="14.25" customHeight="1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  <c r="AA920" s="5"/>
    </row>
    <row r="921" spans="1:27" ht="14.25" customHeight="1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  <c r="AA921" s="5"/>
    </row>
    <row r="922" spans="1:27" ht="14.25" customHeight="1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  <c r="AA922" s="5"/>
    </row>
    <row r="923" spans="1:27" ht="14.25" customHeight="1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  <c r="AA923" s="5"/>
    </row>
    <row r="924" spans="1:27" ht="14.25" customHeight="1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  <c r="AA924" s="5"/>
    </row>
    <row r="925" spans="1:27" ht="14.25" customHeight="1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  <c r="AA925" s="5"/>
    </row>
    <row r="926" spans="1:27" ht="14.25" customHeight="1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  <c r="AA926" s="5"/>
    </row>
    <row r="927" spans="1:27" ht="14.25" customHeight="1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  <c r="AA927" s="5"/>
    </row>
    <row r="928" spans="1:27" ht="14.25" customHeight="1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  <c r="AA928" s="5"/>
    </row>
    <row r="929" spans="1:27" ht="14.25" customHeight="1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  <c r="AA929" s="5"/>
    </row>
    <row r="930" spans="1:27" ht="14.25" customHeight="1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  <c r="AA930" s="5"/>
    </row>
    <row r="931" spans="1:27" ht="14.25" customHeight="1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  <c r="AA931" s="5"/>
    </row>
    <row r="932" spans="1:27" ht="14.25" customHeight="1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  <c r="AA932" s="5"/>
    </row>
    <row r="933" spans="1:27" ht="14.25" customHeight="1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  <c r="AA933" s="5"/>
    </row>
    <row r="934" spans="1:27" ht="14.25" customHeight="1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  <c r="AA934" s="5"/>
    </row>
    <row r="935" spans="1:27" ht="14.25" customHeight="1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  <c r="AA935" s="5"/>
    </row>
    <row r="936" spans="1:27" ht="14.25" customHeight="1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  <c r="AA936" s="5"/>
    </row>
    <row r="937" spans="1:27" ht="14.25" customHeight="1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  <c r="AA937" s="5"/>
    </row>
    <row r="938" spans="1:27" ht="14.25" customHeight="1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  <c r="AA938" s="5"/>
    </row>
    <row r="939" spans="1:27" ht="14.25" customHeight="1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  <c r="AA939" s="5"/>
    </row>
    <row r="940" spans="1:27" ht="14.25" customHeight="1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  <c r="AA940" s="5"/>
    </row>
    <row r="941" spans="1:27" ht="14.25" customHeight="1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  <c r="AA941" s="5"/>
    </row>
    <row r="942" spans="1:27" ht="14.25" customHeight="1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  <c r="AA942" s="5"/>
    </row>
    <row r="943" spans="1:27" ht="14.25" customHeight="1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  <c r="AA943" s="5"/>
    </row>
    <row r="944" spans="1:27" ht="14.25" customHeight="1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  <c r="AA944" s="5"/>
    </row>
    <row r="945" spans="1:27" ht="14.25" customHeight="1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  <c r="AA945" s="5"/>
    </row>
    <row r="946" spans="1:27" ht="14.25" customHeight="1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  <c r="AA946" s="5"/>
    </row>
    <row r="947" spans="1:27" ht="14.25" customHeight="1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  <c r="AA947" s="5"/>
    </row>
    <row r="948" spans="1:27" ht="14.25" customHeight="1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  <c r="AA948" s="5"/>
    </row>
    <row r="949" spans="1:27" ht="14.25" customHeight="1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  <c r="AA949" s="5"/>
    </row>
    <row r="950" spans="1:27" ht="14.25" customHeight="1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  <c r="AA950" s="5"/>
    </row>
    <row r="951" spans="1:27" ht="14.25" customHeight="1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  <c r="AA951" s="5"/>
    </row>
    <row r="952" spans="1:27" ht="14.25" customHeight="1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  <c r="AA952" s="5"/>
    </row>
    <row r="953" spans="1:27" ht="14.25" customHeight="1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  <c r="AA953" s="5"/>
    </row>
    <row r="954" spans="1:27" ht="14.25" customHeight="1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  <c r="AA954" s="5"/>
    </row>
    <row r="955" spans="1:27" ht="14.25" customHeight="1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  <c r="AA955" s="5"/>
    </row>
    <row r="956" spans="1:27" ht="14.25" customHeight="1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  <c r="AA956" s="5"/>
    </row>
    <row r="957" spans="1:27" ht="14.25" customHeight="1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  <c r="AA957" s="5"/>
    </row>
    <row r="958" spans="1:27" ht="14.25" customHeight="1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  <c r="AA958" s="5"/>
    </row>
    <row r="959" spans="1:27" ht="14.25" customHeight="1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  <c r="AA959" s="5"/>
    </row>
    <row r="960" spans="1:27" ht="14.25" customHeight="1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  <c r="AA960" s="5"/>
    </row>
    <row r="961" spans="1:27" ht="14.25" customHeight="1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  <c r="AA961" s="5"/>
    </row>
    <row r="962" spans="1:27" ht="14.25" customHeight="1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  <c r="AA962" s="5"/>
    </row>
    <row r="963" spans="1:27" ht="14.25" customHeight="1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  <c r="AA963" s="5"/>
    </row>
    <row r="964" spans="1:27" ht="14.25" customHeight="1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  <c r="AA964" s="5"/>
    </row>
    <row r="965" spans="1:27" ht="14.25" customHeight="1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  <c r="AA965" s="5"/>
    </row>
    <row r="966" spans="1:27" ht="14.25" customHeight="1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  <c r="AA966" s="5"/>
    </row>
    <row r="967" spans="1:27" ht="14.25" customHeight="1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  <c r="AA967" s="5"/>
    </row>
    <row r="968" spans="1:27" ht="14.25" customHeight="1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  <c r="AA968" s="5"/>
    </row>
    <row r="969" spans="1:27" ht="14.25" customHeight="1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  <c r="AA969" s="5"/>
    </row>
    <row r="970" spans="1:27" ht="14.25" customHeight="1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  <c r="AA970" s="5"/>
    </row>
  </sheetData>
  <mergeCells count="27">
    <mergeCell ref="A1:F1"/>
    <mergeCell ref="A2:F2"/>
    <mergeCell ref="A3:F3"/>
    <mergeCell ref="A4:F4"/>
    <mergeCell ref="A6:F6"/>
    <mergeCell ref="A7:F7"/>
    <mergeCell ref="A9:X9"/>
    <mergeCell ref="P11:Q11"/>
    <mergeCell ref="S11:X11"/>
    <mergeCell ref="E12:F12"/>
    <mergeCell ref="H12:I12"/>
    <mergeCell ref="A8:F8"/>
    <mergeCell ref="A11:J11"/>
    <mergeCell ref="K11:K12"/>
    <mergeCell ref="L11:M11"/>
    <mergeCell ref="N11:N12"/>
    <mergeCell ref="O11:O12"/>
    <mergeCell ref="R11:R12"/>
    <mergeCell ref="A12:B12"/>
    <mergeCell ref="C12:C13"/>
    <mergeCell ref="D12:D13"/>
    <mergeCell ref="G12:G13"/>
    <mergeCell ref="J12:J13"/>
    <mergeCell ref="A30:J30"/>
    <mergeCell ref="A75:J75"/>
    <mergeCell ref="A76:J76"/>
    <mergeCell ref="A79:M79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JANEIRO 2022</vt:lpstr>
      <vt:lpstr>JANEIRO 2023</vt:lpstr>
      <vt:lpstr>NOVEMBRO 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daniel.moreira</cp:lastModifiedBy>
  <dcterms:modified xsi:type="dcterms:W3CDTF">2024-12-12T14:07:30Z</dcterms:modified>
</cp:coreProperties>
</file>