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OUTUBRO" sheetId="10" r:id="rId1"/>
  </sheets>
  <calcPr calcId="125725"/>
</workbook>
</file>

<file path=xl/calcChain.xml><?xml version="1.0" encoding="utf-8"?>
<calcChain xmlns="http://schemas.openxmlformats.org/spreadsheetml/2006/main">
  <c r="Q69" i="10"/>
  <c r="P69"/>
  <c r="O69"/>
  <c r="N68"/>
  <c r="R68" s="1"/>
  <c r="N67"/>
  <c r="R67" s="1"/>
  <c r="N66"/>
  <c r="R66" s="1"/>
  <c r="R65"/>
  <c r="T65" s="1"/>
  <c r="N65"/>
  <c r="T64"/>
  <c r="R64"/>
  <c r="X64" s="1"/>
  <c r="N64"/>
  <c r="M63"/>
  <c r="M62" s="1"/>
  <c r="K63"/>
  <c r="L61"/>
  <c r="N61" s="1"/>
  <c r="R61" s="1"/>
  <c r="S60"/>
  <c r="W59"/>
  <c r="U59"/>
  <c r="S59"/>
  <c r="S58" s="1"/>
  <c r="M59"/>
  <c r="M58" s="1"/>
  <c r="L59"/>
  <c r="L58" s="1"/>
  <c r="K59"/>
  <c r="K58" s="1"/>
  <c r="W58"/>
  <c r="U58"/>
  <c r="N57"/>
  <c r="R57" s="1"/>
  <c r="N56"/>
  <c r="R56" s="1"/>
  <c r="T56" s="1"/>
  <c r="N55"/>
  <c r="R55" s="1"/>
  <c r="W54"/>
  <c r="W53" s="1"/>
  <c r="U54"/>
  <c r="U53" s="1"/>
  <c r="S54"/>
  <c r="N54"/>
  <c r="R54" s="1"/>
  <c r="V54" s="1"/>
  <c r="K54"/>
  <c r="K53" s="1"/>
  <c r="N53" s="1"/>
  <c r="R53" s="1"/>
  <c r="N52"/>
  <c r="R52" s="1"/>
  <c r="N51"/>
  <c r="R51" s="1"/>
  <c r="R50"/>
  <c r="T50" s="1"/>
  <c r="N50"/>
  <c r="N49"/>
  <c r="R49" s="1"/>
  <c r="R48"/>
  <c r="T48" s="1"/>
  <c r="N48"/>
  <c r="N47"/>
  <c r="R47" s="1"/>
  <c r="N46"/>
  <c r="R46" s="1"/>
  <c r="N45"/>
  <c r="R45" s="1"/>
  <c r="N44"/>
  <c r="R44" s="1"/>
  <c r="N43"/>
  <c r="R43" s="1"/>
  <c r="W42"/>
  <c r="W41" s="1"/>
  <c r="U42"/>
  <c r="S42"/>
  <c r="S41" s="1"/>
  <c r="M42"/>
  <c r="M41" s="1"/>
  <c r="L42"/>
  <c r="L41" s="1"/>
  <c r="K42"/>
  <c r="N42" s="1"/>
  <c r="R42" s="1"/>
  <c r="N40"/>
  <c r="R40" s="1"/>
  <c r="N39"/>
  <c r="R39" s="1"/>
  <c r="X38"/>
  <c r="T38"/>
  <c r="R38"/>
  <c r="V38" s="1"/>
  <c r="N38"/>
  <c r="N37"/>
  <c r="R37" s="1"/>
  <c r="N36"/>
  <c r="R36" s="1"/>
  <c r="T36" s="1"/>
  <c r="N35"/>
  <c r="R35" s="1"/>
  <c r="N34"/>
  <c r="R34" s="1"/>
  <c r="N33"/>
  <c r="R33" s="1"/>
  <c r="N32"/>
  <c r="R32" s="1"/>
  <c r="V31"/>
  <c r="R31"/>
  <c r="X31" s="1"/>
  <c r="N31"/>
  <c r="P28"/>
  <c r="O28"/>
  <c r="O70" s="1"/>
  <c r="K28"/>
  <c r="V27"/>
  <c r="R27"/>
  <c r="T27" s="1"/>
  <c r="N27"/>
  <c r="W26"/>
  <c r="W25" s="1"/>
  <c r="W28" s="1"/>
  <c r="U26"/>
  <c r="S26"/>
  <c r="L26"/>
  <c r="N26" s="1"/>
  <c r="R26" s="1"/>
  <c r="K26"/>
  <c r="U25"/>
  <c r="U28" s="1"/>
  <c r="S25"/>
  <c r="S28" s="1"/>
  <c r="Q25"/>
  <c r="Q28" s="1"/>
  <c r="Q70" s="1"/>
  <c r="M25"/>
  <c r="M28" s="1"/>
  <c r="L25"/>
  <c r="L28" s="1"/>
  <c r="K25"/>
  <c r="N24"/>
  <c r="R24" s="1"/>
  <c r="N23"/>
  <c r="R23" s="1"/>
  <c r="N22"/>
  <c r="R22" s="1"/>
  <c r="N21"/>
  <c r="R21" s="1"/>
  <c r="N20"/>
  <c r="R20" s="1"/>
  <c r="N19"/>
  <c r="R19" s="1"/>
  <c r="T19" s="1"/>
  <c r="N18"/>
  <c r="R18" s="1"/>
  <c r="N17"/>
  <c r="R17" s="1"/>
  <c r="N16"/>
  <c r="R16" s="1"/>
  <c r="N15"/>
  <c r="R15" s="1"/>
  <c r="T15" s="1"/>
  <c r="N14"/>
  <c r="R14" s="1"/>
  <c r="T21" l="1"/>
  <c r="V21"/>
  <c r="X21"/>
  <c r="T32"/>
  <c r="X32"/>
  <c r="V32"/>
  <c r="T44"/>
  <c r="V44"/>
  <c r="X44"/>
  <c r="X43"/>
  <c r="V43"/>
  <c r="T43"/>
  <c r="X14"/>
  <c r="T14"/>
  <c r="V14"/>
  <c r="T54"/>
  <c r="X27"/>
  <c r="N58"/>
  <c r="R58" s="1"/>
  <c r="W69"/>
  <c r="N63"/>
  <c r="R63" s="1"/>
  <c r="T31"/>
  <c r="K62"/>
  <c r="X65"/>
  <c r="L60"/>
  <c r="N60" s="1"/>
  <c r="R60" s="1"/>
  <c r="V60" s="1"/>
  <c r="V65"/>
  <c r="X50"/>
  <c r="K41"/>
  <c r="K69" s="1"/>
  <c r="K70" s="1"/>
  <c r="V50"/>
  <c r="P70"/>
  <c r="V64"/>
  <c r="T39"/>
  <c r="V39"/>
  <c r="X39"/>
  <c r="T20"/>
  <c r="V20"/>
  <c r="X20"/>
  <c r="T49"/>
  <c r="V49"/>
  <c r="X49"/>
  <c r="T58"/>
  <c r="V58"/>
  <c r="X58"/>
  <c r="V18"/>
  <c r="X18"/>
  <c r="T18"/>
  <c r="X63"/>
  <c r="T63"/>
  <c r="V63"/>
  <c r="V68"/>
  <c r="X68"/>
  <c r="T68"/>
  <c r="T17"/>
  <c r="V17"/>
  <c r="X17"/>
  <c r="T24"/>
  <c r="V24"/>
  <c r="X24"/>
  <c r="V47"/>
  <c r="X47"/>
  <c r="T47"/>
  <c r="T67"/>
  <c r="V67"/>
  <c r="X67"/>
  <c r="N62"/>
  <c r="R62" s="1"/>
  <c r="T16"/>
  <c r="V16"/>
  <c r="X16"/>
  <c r="T23"/>
  <c r="V23"/>
  <c r="X23"/>
  <c r="T37"/>
  <c r="V37"/>
  <c r="X37"/>
  <c r="T46"/>
  <c r="V46"/>
  <c r="X46"/>
  <c r="V53"/>
  <c r="X53"/>
  <c r="T61"/>
  <c r="V61"/>
  <c r="X61"/>
  <c r="T66"/>
  <c r="V66"/>
  <c r="X66"/>
  <c r="W70"/>
  <c r="T22"/>
  <c r="V22"/>
  <c r="X22"/>
  <c r="T45"/>
  <c r="V45"/>
  <c r="X45"/>
  <c r="T52"/>
  <c r="V52"/>
  <c r="X52"/>
  <c r="T57"/>
  <c r="V57"/>
  <c r="X57"/>
  <c r="M69"/>
  <c r="M70" s="1"/>
  <c r="T51"/>
  <c r="V51"/>
  <c r="X51"/>
  <c r="X60"/>
  <c r="T26"/>
  <c r="V26"/>
  <c r="X26"/>
  <c r="V35"/>
  <c r="X35"/>
  <c r="T35"/>
  <c r="X42"/>
  <c r="T42"/>
  <c r="V42"/>
  <c r="T34"/>
  <c r="V34"/>
  <c r="X34"/>
  <c r="V55"/>
  <c r="X55"/>
  <c r="T55"/>
  <c r="T33"/>
  <c r="V33"/>
  <c r="X33"/>
  <c r="T40"/>
  <c r="V40"/>
  <c r="X40"/>
  <c r="N25"/>
  <c r="R25" s="1"/>
  <c r="X15"/>
  <c r="U41"/>
  <c r="U69" s="1"/>
  <c r="U70" s="1"/>
  <c r="V15"/>
  <c r="X54"/>
  <c r="X19"/>
  <c r="R28"/>
  <c r="X36"/>
  <c r="N41"/>
  <c r="R41" s="1"/>
  <c r="X48"/>
  <c r="S53"/>
  <c r="S69" s="1"/>
  <c r="S70" s="1"/>
  <c r="X56"/>
  <c r="V19"/>
  <c r="V36"/>
  <c r="V48"/>
  <c r="V56"/>
  <c r="N59"/>
  <c r="R59" s="1"/>
  <c r="L69" l="1"/>
  <c r="L70" s="1"/>
  <c r="T60"/>
  <c r="N28"/>
  <c r="N70" s="1"/>
  <c r="T53"/>
  <c r="T59"/>
  <c r="V59"/>
  <c r="X59"/>
  <c r="T25"/>
  <c r="V25"/>
  <c r="X25"/>
  <c r="N69"/>
  <c r="R69"/>
  <c r="X28"/>
  <c r="T28"/>
  <c r="V28"/>
  <c r="X41"/>
  <c r="T41"/>
  <c r="V41"/>
  <c r="T62"/>
  <c r="V62"/>
  <c r="X62"/>
  <c r="V69" l="1"/>
  <c r="X69"/>
  <c r="T69"/>
  <c r="R70"/>
  <c r="T70" l="1"/>
  <c r="V70"/>
  <c r="X70"/>
</calcChain>
</file>

<file path=xl/sharedStrings.xml><?xml version="1.0" encoding="utf-8"?>
<sst xmlns="http://schemas.openxmlformats.org/spreadsheetml/2006/main" count="527" uniqueCount="135">
  <si>
    <t>ANEXO II</t>
  </si>
  <si>
    <t>Sigla: TJAM</t>
  </si>
  <si>
    <t>Nome do Órgão: TRIBUNAL DE JUSTIÇA DO AMAZONAS</t>
  </si>
  <si>
    <t>JOMAR RICARDO SAUNDERS FERNANDES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</si>
  <si>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</si>
  <si>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</si>
  <si>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</si>
  <si>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</si>
  <si>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</si>
  <si>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</si>
  <si>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</si>
  <si>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</si>
  <si>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</si>
  <si>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</si>
  <si>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</si>
  <si>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</si>
  <si>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</si>
  <si>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</si>
  <si>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</si>
  <si>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</si>
  <si>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</si>
  <si>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</si>
  <si>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</si>
  <si>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</si>
  <si>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</si>
  <si>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</si>
  <si>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</si>
  <si>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</si>
  <si>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</si>
  <si>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</si>
  <si>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</si>
  <si>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</si>
  <si>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</si>
  <si>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</si>
  <si>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</si>
  <si>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</si>
  <si>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</si>
  <si>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</si>
  <si>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</si>
  <si>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</si>
  <si>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</si>
  <si>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</si>
  <si>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</si>
  <si>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</si>
  <si>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</si>
  <si>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</si>
  <si>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</si>
  <si>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</si>
  <si>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</si>
  <si>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</si>
  <si>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</si>
  <si>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</si>
  <si>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</si>
  <si>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</si>
  <si>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</si>
  <si>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</si>
  <si>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3290/2563.0001</t>
  </si>
  <si>
    <t>Remuneração de Pessoal Ativo e Encargos Sociais do 1° Grau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</si>
  <si>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</si>
  <si>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</si>
  <si>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</si>
  <si>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</si>
  <si>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</si>
  <si>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</si>
  <si>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</si>
  <si>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</si>
  <si>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</si>
  <si>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</si>
  <si>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</si>
  <si>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02.128</t>
  </si>
  <si>
    <t>3291/2218.0001</t>
  </si>
  <si>
    <t>Formação e aperfeiçoamento dos Servidores</t>
  </si>
  <si>
    <t>3291/2347.0001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</si>
  <si>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</si>
  <si>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</si>
  <si>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</si>
  <si>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</si>
  <si>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</si>
  <si>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</si>
  <si>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</si>
  <si>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</si>
  <si>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</si>
  <si>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</si>
  <si>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</si>
  <si>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</si>
  <si>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</si>
  <si>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3290/1476.0001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</si>
  <si>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</si>
  <si>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</si>
  <si>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</si>
  <si>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</si>
  <si>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3290.1476.0006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</si>
  <si>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</si>
  <si>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</si>
  <si>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</si>
  <si>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</si>
  <si>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</si>
  <si>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</si>
  <si>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</si>
  <si>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</si>
  <si>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</si>
  <si>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2° Grau</t>
  </si>
  <si>
    <t>3291.1574.0001</t>
  </si>
  <si>
    <t>Ampliação do Quadro Funcional do TJ</t>
  </si>
  <si>
    <t>3291/2581.0001</t>
  </si>
  <si>
    <t>Operacionalização da Corregedoria Geral de Justiça - CGJ/AM</t>
  </si>
  <si>
    <t>02.126</t>
  </si>
  <si>
    <t>3290/2627.0001</t>
  </si>
  <si>
    <t>Manutenção, Ampliação e Aperfeiçoamento da Infraestrutura de TIC no 1° Grau do Poder Judiciário</t>
  </si>
  <si>
    <t>3291/2628.0001</t>
  </si>
  <si>
    <t>Manutenção, Ampliação e Aperfeiçoamento da Infraestrutura de TIC no 2° Grau do Poder Judiciário</t>
  </si>
  <si>
    <t>Formação e Aperfeiçoamento dos servidores</t>
  </si>
  <si>
    <t>3291.2347.0001</t>
  </si>
  <si>
    <t>1.759.285.0.0000.0000</t>
  </si>
  <si>
    <t>Recursos Vinculados a Fundos - Outras Fontes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</si>
  <si>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</si>
  <si>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</si>
  <si>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</si>
  <si>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</si>
  <si>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</si>
  <si>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>Responsável pela Informação: SECRETÁRIA DE ORÇAMENTO E FINANÇAS</t>
  </si>
  <si>
    <t>2.759.201.0.0000.0000</t>
  </si>
  <si>
    <t>2.759.285.0.0000.0000</t>
  </si>
  <si>
    <t>3290/1476.0002</t>
  </si>
  <si>
    <t>3290/1476.0004</t>
  </si>
  <si>
    <t>3290.1476.0007</t>
  </si>
  <si>
    <t>Mês de Referência: 10/2025</t>
  </si>
  <si>
    <t>02.122</t>
  </si>
  <si>
    <t>3310/2793.0006</t>
  </si>
  <si>
    <t>Aplicação de Emendas Parlamentares</t>
  </si>
  <si>
    <t>Desenvolvimento de Ações Decorrentes de Emendas Parlamentares de Bancada</t>
  </si>
  <si>
    <t>1.500.121.0.0000.0000</t>
  </si>
  <si>
    <t>Recursos não Vinculados de impostos - FPE</t>
  </si>
  <si>
    <t>3290.1476.0009</t>
  </si>
  <si>
    <t>Data da Publicação: 14/11/2025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</si>
</sst>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9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00DCFF"/>
        <bgColor rgb="FF00DCFF"/>
      </patternFill>
    </fill>
  </fills>
  <borders count="1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3" fillId="0" borderId="0" xfId="0" applyFont="1" applyAlignment="1"/>
    <xf numFmtId="0" fontId="3" fillId="2" borderId="0" xfId="0" applyFont="1" applyFill="1" applyAlignment="1"/>
    <xf numFmtId="164" fontId="3" fillId="2" borderId="4" xfId="0" applyNumberFormat="1" applyFont="1" applyFill="1" applyBorder="1" applyAlignment="1"/>
    <xf numFmtId="0" fontId="3" fillId="0" borderId="0" xfId="0" applyFont="1"/>
    <xf numFmtId="164" fontId="3" fillId="2" borderId="0" xfId="0" applyNumberFormat="1" applyFont="1" applyFill="1" applyAlignment="1"/>
    <xf numFmtId="164" fontId="3" fillId="0" borderId="0" xfId="0" applyNumberFormat="1" applyFont="1" applyAlignment="1"/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6" fontId="3" fillId="0" borderId="0" xfId="0" applyNumberFormat="1" applyFont="1" applyAlignment="1"/>
    <xf numFmtId="0" fontId="5" fillId="5" borderId="12" xfId="0" applyFont="1" applyFill="1" applyBorder="1" applyAlignment="1">
      <alignment horizontal="center" vertical="center" wrapText="1"/>
    </xf>
    <xf numFmtId="166" fontId="5" fillId="5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5" fillId="5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/>
    </xf>
    <xf numFmtId="49" fontId="3" fillId="6" borderId="12" xfId="0" applyNumberFormat="1" applyFont="1" applyFill="1" applyBorder="1"/>
    <xf numFmtId="4" fontId="3" fillId="6" borderId="12" xfId="0" applyNumberFormat="1" applyFont="1" applyFill="1" applyBorder="1"/>
    <xf numFmtId="164" fontId="3" fillId="6" borderId="12" xfId="0" applyNumberFormat="1" applyFont="1" applyFill="1" applyBorder="1"/>
    <xf numFmtId="49" fontId="3" fillId="0" borderId="12" xfId="0" applyNumberFormat="1" applyFont="1" applyBorder="1"/>
    <xf numFmtId="4" fontId="3" fillId="0" borderId="12" xfId="0" applyNumberFormat="1" applyFont="1" applyBorder="1"/>
    <xf numFmtId="164" fontId="3" fillId="0" borderId="12" xfId="0" applyNumberFormat="1" applyFont="1" applyBorder="1"/>
    <xf numFmtId="0" fontId="5" fillId="7" borderId="12" xfId="0" applyFont="1" applyFill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/>
    </xf>
    <xf numFmtId="166" fontId="5" fillId="7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6" fontId="5" fillId="8" borderId="12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4" fontId="4" fillId="9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/>
    <xf numFmtId="0" fontId="3" fillId="2" borderId="14" xfId="0" applyFont="1" applyFill="1" applyBorder="1" applyAlignme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4" fontId="4" fillId="9" borderId="10" xfId="0" applyNumberFormat="1" applyFont="1" applyFill="1" applyBorder="1" applyAlignment="1">
      <alignment horizontal="center" vertical="center" wrapText="1"/>
    </xf>
    <xf numFmtId="164" fontId="4" fillId="9" borderId="10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4" fontId="8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5" fillId="8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/>
    <xf numFmtId="0" fontId="0" fillId="0" borderId="0" xfId="0" applyFont="1" applyAlignment="1"/>
    <xf numFmtId="0" fontId="2" fillId="0" borderId="9" xfId="0" applyFont="1" applyBorder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02"/>
  <sheetViews>
    <sheetView tabSelected="1" workbookViewId="0">
      <selection activeCell="O79" sqref="O79"/>
    </sheetView>
  </sheetViews>
  <sheetFormatPr defaultColWidth="12.5703125" defaultRowHeight="15.75" customHeight="1"/>
  <cols>
    <col min="8" max="8" width="13" customWidth="1"/>
    <col min="25" max="25" width="13.42578125" customWidth="1"/>
  </cols>
  <sheetData>
    <row r="1" spans="1:27" ht="14.25">
      <c r="A1" s="67" t="s">
        <v>0</v>
      </c>
      <c r="B1" s="68"/>
      <c r="C1" s="68"/>
      <c r="D1" s="68"/>
      <c r="E1" s="68"/>
      <c r="F1" s="69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 ht="14.25">
      <c r="A2" s="70" t="s">
        <v>1</v>
      </c>
      <c r="B2" s="71"/>
      <c r="C2" s="71"/>
      <c r="D2" s="71"/>
      <c r="E2" s="71"/>
      <c r="F2" s="72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 ht="14.25">
      <c r="A3" s="70" t="s">
        <v>2</v>
      </c>
      <c r="B3" s="71"/>
      <c r="C3" s="71"/>
      <c r="D3" s="71"/>
      <c r="E3" s="71"/>
      <c r="F3" s="72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14.25">
      <c r="A4" s="73" t="s">
        <v>3</v>
      </c>
      <c r="B4" s="68"/>
      <c r="C4" s="68"/>
      <c r="D4" s="68"/>
      <c r="E4" s="68"/>
      <c r="F4" s="69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4.25">
      <c r="A5" s="89" t="s">
        <v>120</v>
      </c>
      <c r="B5" s="74"/>
      <c r="C5" s="74"/>
      <c r="D5" s="74"/>
      <c r="E5" s="74"/>
      <c r="F5" s="75"/>
      <c r="G5" s="4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14.25">
      <c r="A6" s="73" t="s">
        <v>126</v>
      </c>
      <c r="B6" s="68"/>
      <c r="C6" s="68"/>
      <c r="D6" s="68"/>
      <c r="E6" s="68"/>
      <c r="F6" s="69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4.25">
      <c r="A7" s="76" t="s">
        <v>134</v>
      </c>
      <c r="B7" s="68"/>
      <c r="C7" s="68"/>
      <c r="D7" s="68"/>
      <c r="E7" s="68"/>
      <c r="F7" s="69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4.25">
      <c r="A8" s="80"/>
      <c r="B8" s="74"/>
      <c r="C8" s="74"/>
      <c r="D8" s="74"/>
      <c r="E8" s="74"/>
      <c r="F8" s="74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V8" s="1"/>
      <c r="W8" s="1"/>
      <c r="X8" s="1"/>
      <c r="Y8" s="1"/>
      <c r="Z8" s="1"/>
      <c r="AA8" s="1"/>
    </row>
    <row r="9" spans="1:27" ht="14.25">
      <c r="A9" s="81" t="s">
        <v>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1"/>
      <c r="Z9" s="1"/>
      <c r="AA9" s="1"/>
    </row>
    <row r="10" spans="1:27" ht="14.2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1"/>
      <c r="W10" s="6"/>
      <c r="X10" s="1"/>
      <c r="Y10" s="1"/>
      <c r="Z10" s="1"/>
      <c r="AA10" s="1"/>
    </row>
    <row r="11" spans="1:27" ht="14.25">
      <c r="A11" s="77" t="s">
        <v>5</v>
      </c>
      <c r="B11" s="68"/>
      <c r="C11" s="68"/>
      <c r="D11" s="68"/>
      <c r="E11" s="68"/>
      <c r="F11" s="68"/>
      <c r="G11" s="68"/>
      <c r="H11" s="68"/>
      <c r="I11" s="68"/>
      <c r="J11" s="69"/>
      <c r="K11" s="78" t="s">
        <v>6</v>
      </c>
      <c r="L11" s="77" t="s">
        <v>7</v>
      </c>
      <c r="M11" s="69"/>
      <c r="N11" s="78" t="s">
        <v>8</v>
      </c>
      <c r="O11" s="78" t="s">
        <v>9</v>
      </c>
      <c r="P11" s="77" t="s">
        <v>10</v>
      </c>
      <c r="Q11" s="69"/>
      <c r="R11" s="78" t="s">
        <v>11</v>
      </c>
      <c r="S11" s="77" t="s">
        <v>12</v>
      </c>
      <c r="T11" s="68"/>
      <c r="U11" s="68"/>
      <c r="V11" s="68"/>
      <c r="W11" s="68"/>
      <c r="X11" s="69"/>
      <c r="Y11" s="1"/>
      <c r="Z11" s="1"/>
      <c r="AA11" s="1"/>
    </row>
    <row r="12" spans="1:27" ht="14.25">
      <c r="A12" s="88" t="s">
        <v>13</v>
      </c>
      <c r="B12" s="69"/>
      <c r="C12" s="78" t="s">
        <v>14</v>
      </c>
      <c r="D12" s="78" t="s">
        <v>15</v>
      </c>
      <c r="E12" s="88" t="s">
        <v>16</v>
      </c>
      <c r="F12" s="69"/>
      <c r="G12" s="78" t="s">
        <v>17</v>
      </c>
      <c r="H12" s="88" t="s">
        <v>18</v>
      </c>
      <c r="I12" s="69"/>
      <c r="J12" s="82" t="s">
        <v>19</v>
      </c>
      <c r="K12" s="79"/>
      <c r="L12" s="7" t="s">
        <v>20</v>
      </c>
      <c r="M12" s="7" t="s">
        <v>21</v>
      </c>
      <c r="N12" s="79"/>
      <c r="O12" s="79"/>
      <c r="P12" s="7" t="s">
        <v>22</v>
      </c>
      <c r="Q12" s="7" t="s">
        <v>23</v>
      </c>
      <c r="R12" s="79"/>
      <c r="S12" s="7" t="s">
        <v>24</v>
      </c>
      <c r="T12" s="8" t="s">
        <v>25</v>
      </c>
      <c r="U12" s="7" t="s">
        <v>26</v>
      </c>
      <c r="V12" s="8" t="s">
        <v>25</v>
      </c>
      <c r="W12" s="9" t="s">
        <v>27</v>
      </c>
      <c r="X12" s="8" t="s">
        <v>25</v>
      </c>
      <c r="Y12" s="1"/>
      <c r="Z12" s="1"/>
      <c r="AA12" s="1"/>
    </row>
    <row r="13" spans="1:27" ht="27" customHeight="1">
      <c r="A13" s="10" t="s">
        <v>28</v>
      </c>
      <c r="B13" s="10" t="s">
        <v>16</v>
      </c>
      <c r="C13" s="79"/>
      <c r="D13" s="79"/>
      <c r="E13" s="10" t="s">
        <v>29</v>
      </c>
      <c r="F13" s="10" t="s">
        <v>30</v>
      </c>
      <c r="G13" s="79"/>
      <c r="H13" s="10" t="s">
        <v>28</v>
      </c>
      <c r="I13" s="10" t="s">
        <v>16</v>
      </c>
      <c r="J13" s="79"/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38</v>
      </c>
      <c r="S13" s="7" t="s">
        <v>39</v>
      </c>
      <c r="T13" s="8" t="s">
        <v>40</v>
      </c>
      <c r="U13" s="7" t="s">
        <v>41</v>
      </c>
      <c r="V13" s="8" t="s">
        <v>42</v>
      </c>
      <c r="W13" s="9" t="s">
        <v>43</v>
      </c>
      <c r="X13" s="8" t="s">
        <v>44</v>
      </c>
      <c r="Y13" s="1"/>
      <c r="Z13" s="1"/>
      <c r="AA13" s="1"/>
    </row>
    <row r="14" spans="1:27" ht="64.5" customHeight="1">
      <c r="A14" s="11" t="s">
        <v>45</v>
      </c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50</v>
      </c>
      <c r="G14" s="12" t="s">
        <v>51</v>
      </c>
      <c r="H14" s="12" t="s">
        <v>52</v>
      </c>
      <c r="I14" s="12" t="s">
        <v>53</v>
      </c>
      <c r="J14" s="13">
        <v>3</v>
      </c>
      <c r="K14" s="14">
        <v>100000</v>
      </c>
      <c r="L14" s="15">
        <v>0</v>
      </c>
      <c r="M14" s="15">
        <v>100000</v>
      </c>
      <c r="N14" s="16">
        <f t="shared" ref="N14:N27" si="0">K14+L14-M14</f>
        <v>0</v>
      </c>
      <c r="O14" s="17"/>
      <c r="P14" s="17"/>
      <c r="Q14" s="17"/>
      <c r="R14" s="16">
        <f t="shared" ref="R14:R27" si="1">N14-O14+P14+Q14</f>
        <v>0</v>
      </c>
      <c r="S14" s="15">
        <v>0</v>
      </c>
      <c r="T14" s="18">
        <f t="shared" ref="T14:T28" si="2">IF(R14&gt;0,S14/R14,0)</f>
        <v>0</v>
      </c>
      <c r="U14" s="19">
        <v>0</v>
      </c>
      <c r="V14" s="18">
        <f t="shared" ref="V14:V28" si="3">IF(R14&gt;0,U14/R14,0)</f>
        <v>0</v>
      </c>
      <c r="W14" s="15">
        <v>0</v>
      </c>
      <c r="X14" s="18">
        <f t="shared" ref="X14:X28" si="4">IF(R14&gt;0,W14/R14,0)</f>
        <v>0</v>
      </c>
      <c r="Y14" s="1"/>
      <c r="Z14" s="1"/>
      <c r="AA14" s="1"/>
    </row>
    <row r="15" spans="1:27" ht="64.5" customHeight="1">
      <c r="A15" s="11" t="s">
        <v>45</v>
      </c>
      <c r="B15" s="12" t="s">
        <v>46</v>
      </c>
      <c r="C15" s="12" t="s">
        <v>47</v>
      </c>
      <c r="D15" s="12" t="s">
        <v>54</v>
      </c>
      <c r="E15" s="12" t="s">
        <v>49</v>
      </c>
      <c r="F15" s="12" t="s">
        <v>55</v>
      </c>
      <c r="G15" s="12" t="s">
        <v>51</v>
      </c>
      <c r="H15" s="12" t="s">
        <v>52</v>
      </c>
      <c r="I15" s="12" t="s">
        <v>53</v>
      </c>
      <c r="J15" s="13">
        <v>3</v>
      </c>
      <c r="K15" s="14">
        <v>84417500</v>
      </c>
      <c r="L15" s="15">
        <v>0</v>
      </c>
      <c r="M15" s="15">
        <v>7405000</v>
      </c>
      <c r="N15" s="16">
        <f t="shared" si="0"/>
        <v>77012500</v>
      </c>
      <c r="O15" s="20"/>
      <c r="P15" s="17"/>
      <c r="Q15" s="17"/>
      <c r="R15" s="16">
        <f t="shared" si="1"/>
        <v>77012500</v>
      </c>
      <c r="S15" s="15">
        <v>68506473.379999995</v>
      </c>
      <c r="T15" s="18">
        <f t="shared" si="2"/>
        <v>0.88955005200454462</v>
      </c>
      <c r="U15" s="19">
        <v>64835894.450000003</v>
      </c>
      <c r="V15" s="18">
        <f t="shared" si="3"/>
        <v>0.84188793312773902</v>
      </c>
      <c r="W15" s="15">
        <v>49533181.149999999</v>
      </c>
      <c r="X15" s="18">
        <f t="shared" si="4"/>
        <v>0.6431836539522805</v>
      </c>
      <c r="Y15" s="21"/>
      <c r="Z15" s="1"/>
      <c r="AA15" s="1"/>
    </row>
    <row r="16" spans="1:27" ht="64.5" customHeight="1">
      <c r="A16" s="11" t="s">
        <v>45</v>
      </c>
      <c r="B16" s="12" t="s">
        <v>46</v>
      </c>
      <c r="C16" s="12" t="s">
        <v>47</v>
      </c>
      <c r="D16" s="12" t="s">
        <v>56</v>
      </c>
      <c r="E16" s="12" t="s">
        <v>49</v>
      </c>
      <c r="F16" s="12" t="s">
        <v>57</v>
      </c>
      <c r="G16" s="12" t="s">
        <v>51</v>
      </c>
      <c r="H16" s="12" t="s">
        <v>52</v>
      </c>
      <c r="I16" s="12" t="s">
        <v>53</v>
      </c>
      <c r="J16" s="22">
        <v>1</v>
      </c>
      <c r="K16" s="14">
        <v>509048274</v>
      </c>
      <c r="L16" s="15">
        <v>15969301.550000001</v>
      </c>
      <c r="M16" s="15">
        <v>25641875.550000001</v>
      </c>
      <c r="N16" s="16">
        <f t="shared" si="0"/>
        <v>499375700</v>
      </c>
      <c r="O16" s="17"/>
      <c r="P16" s="17"/>
      <c r="Q16" s="17"/>
      <c r="R16" s="16">
        <f t="shared" si="1"/>
        <v>499375700</v>
      </c>
      <c r="S16" s="15">
        <v>439191011.38999999</v>
      </c>
      <c r="T16" s="18">
        <f t="shared" si="2"/>
        <v>0.87948014168490773</v>
      </c>
      <c r="U16" s="23">
        <v>432580532.54000002</v>
      </c>
      <c r="V16" s="18">
        <f t="shared" si="3"/>
        <v>0.86624265565985692</v>
      </c>
      <c r="W16" s="15">
        <v>376326098.20999998</v>
      </c>
      <c r="X16" s="18">
        <f t="shared" si="4"/>
        <v>0.75359313280562101</v>
      </c>
      <c r="Y16" s="1"/>
      <c r="Z16" s="1"/>
      <c r="AA16" s="1"/>
    </row>
    <row r="17" spans="1:27" ht="64.5" customHeight="1">
      <c r="A17" s="11" t="s">
        <v>45</v>
      </c>
      <c r="B17" s="12" t="s">
        <v>46</v>
      </c>
      <c r="C17" s="12" t="s">
        <v>47</v>
      </c>
      <c r="D17" s="12" t="s">
        <v>58</v>
      </c>
      <c r="E17" s="12" t="s">
        <v>59</v>
      </c>
      <c r="F17" s="12" t="s">
        <v>60</v>
      </c>
      <c r="G17" s="12" t="s">
        <v>51</v>
      </c>
      <c r="H17" s="12" t="s">
        <v>52</v>
      </c>
      <c r="I17" s="12" t="s">
        <v>53</v>
      </c>
      <c r="J17" s="13">
        <v>3</v>
      </c>
      <c r="K17" s="14">
        <v>24811400</v>
      </c>
      <c r="L17" s="15">
        <v>300000</v>
      </c>
      <c r="M17" s="15">
        <v>300000</v>
      </c>
      <c r="N17" s="16">
        <f t="shared" si="0"/>
        <v>24811400</v>
      </c>
      <c r="O17" s="17"/>
      <c r="P17" s="17"/>
      <c r="Q17" s="17"/>
      <c r="R17" s="16">
        <f t="shared" si="1"/>
        <v>24811400</v>
      </c>
      <c r="S17" s="15">
        <v>23917561.460000001</v>
      </c>
      <c r="T17" s="18">
        <f t="shared" si="2"/>
        <v>0.9639746834116576</v>
      </c>
      <c r="U17" s="19">
        <v>23911404.16</v>
      </c>
      <c r="V17" s="18">
        <f t="shared" si="3"/>
        <v>0.96372651926130726</v>
      </c>
      <c r="W17" s="15">
        <v>19116923.640000001</v>
      </c>
      <c r="X17" s="18">
        <f t="shared" si="4"/>
        <v>0.77048951852777359</v>
      </c>
      <c r="Y17" s="1"/>
      <c r="Z17" s="1"/>
      <c r="AA17" s="1"/>
    </row>
    <row r="18" spans="1:27" ht="64.5" customHeight="1">
      <c r="A18" s="11" t="s">
        <v>45</v>
      </c>
      <c r="B18" s="12" t="s">
        <v>46</v>
      </c>
      <c r="C18" s="12" t="s">
        <v>47</v>
      </c>
      <c r="D18" s="12" t="s">
        <v>61</v>
      </c>
      <c r="E18" s="12" t="s">
        <v>59</v>
      </c>
      <c r="F18" s="12" t="s">
        <v>62</v>
      </c>
      <c r="G18" s="12" t="s">
        <v>51</v>
      </c>
      <c r="H18" s="12" t="s">
        <v>52</v>
      </c>
      <c r="I18" s="12" t="s">
        <v>53</v>
      </c>
      <c r="J18" s="13">
        <v>3</v>
      </c>
      <c r="K18" s="14">
        <v>50000</v>
      </c>
      <c r="L18" s="15">
        <v>0</v>
      </c>
      <c r="M18" s="15">
        <v>50000</v>
      </c>
      <c r="N18" s="16">
        <f t="shared" si="0"/>
        <v>0</v>
      </c>
      <c r="O18" s="17"/>
      <c r="P18" s="17"/>
      <c r="Q18" s="17"/>
      <c r="R18" s="16">
        <f t="shared" si="1"/>
        <v>0</v>
      </c>
      <c r="S18" s="15">
        <v>0</v>
      </c>
      <c r="T18" s="18">
        <f t="shared" si="2"/>
        <v>0</v>
      </c>
      <c r="U18" s="19">
        <v>0</v>
      </c>
      <c r="V18" s="18">
        <f t="shared" si="3"/>
        <v>0</v>
      </c>
      <c r="W18" s="15">
        <v>0</v>
      </c>
      <c r="X18" s="18">
        <f t="shared" si="4"/>
        <v>0</v>
      </c>
      <c r="Y18" s="1"/>
      <c r="Z18" s="1"/>
      <c r="AA18" s="1"/>
    </row>
    <row r="19" spans="1:27" ht="64.5" customHeight="1">
      <c r="A19" s="11" t="s">
        <v>45</v>
      </c>
      <c r="B19" s="12" t="s">
        <v>46</v>
      </c>
      <c r="C19" s="12" t="s">
        <v>47</v>
      </c>
      <c r="D19" s="12" t="s">
        <v>63</v>
      </c>
      <c r="E19" s="12" t="s">
        <v>59</v>
      </c>
      <c r="F19" s="12" t="s">
        <v>64</v>
      </c>
      <c r="G19" s="12" t="s">
        <v>51</v>
      </c>
      <c r="H19" s="12" t="s">
        <v>52</v>
      </c>
      <c r="I19" s="12" t="s">
        <v>53</v>
      </c>
      <c r="J19" s="22">
        <v>1</v>
      </c>
      <c r="K19" s="14">
        <v>134637767</v>
      </c>
      <c r="L19" s="15">
        <v>7544740.4400000004</v>
      </c>
      <c r="M19" s="15">
        <v>7544740.4400000004</v>
      </c>
      <c r="N19" s="16">
        <f t="shared" si="0"/>
        <v>134637767</v>
      </c>
      <c r="O19" s="17"/>
      <c r="P19" s="17"/>
      <c r="Q19" s="17"/>
      <c r="R19" s="16">
        <f t="shared" si="1"/>
        <v>134637767</v>
      </c>
      <c r="S19" s="15">
        <v>125706968.02</v>
      </c>
      <c r="T19" s="18">
        <f t="shared" si="2"/>
        <v>0.93366795083581555</v>
      </c>
      <c r="U19" s="23">
        <v>122717670.68000001</v>
      </c>
      <c r="V19" s="18">
        <f t="shared" si="3"/>
        <v>0.91146543361789423</v>
      </c>
      <c r="W19" s="15">
        <v>105243733.28</v>
      </c>
      <c r="X19" s="18">
        <f t="shared" si="4"/>
        <v>0.78168062071320599</v>
      </c>
      <c r="Y19" s="1"/>
      <c r="Z19" s="1"/>
      <c r="AA19" s="1"/>
    </row>
    <row r="20" spans="1:27" ht="64.5" customHeight="1">
      <c r="A20" s="11" t="s">
        <v>45</v>
      </c>
      <c r="B20" s="12" t="s">
        <v>46</v>
      </c>
      <c r="C20" s="12" t="s">
        <v>47</v>
      </c>
      <c r="D20" s="12" t="s">
        <v>65</v>
      </c>
      <c r="E20" s="12" t="s">
        <v>59</v>
      </c>
      <c r="F20" s="12" t="s">
        <v>66</v>
      </c>
      <c r="G20" s="12" t="s">
        <v>51</v>
      </c>
      <c r="H20" s="12" t="s">
        <v>52</v>
      </c>
      <c r="I20" s="12" t="s">
        <v>53</v>
      </c>
      <c r="J20" s="22">
        <v>1</v>
      </c>
      <c r="K20" s="14">
        <v>171339678</v>
      </c>
      <c r="L20" s="15">
        <v>172331.88</v>
      </c>
      <c r="M20" s="15">
        <v>8802331.8800000008</v>
      </c>
      <c r="N20" s="16">
        <f t="shared" si="0"/>
        <v>162709678</v>
      </c>
      <c r="O20" s="17"/>
      <c r="P20" s="17"/>
      <c r="Q20" s="17"/>
      <c r="R20" s="16">
        <f t="shared" si="1"/>
        <v>162709678</v>
      </c>
      <c r="S20" s="15">
        <v>137281998.87</v>
      </c>
      <c r="T20" s="18">
        <f t="shared" si="2"/>
        <v>0.84372362208227103</v>
      </c>
      <c r="U20" s="23">
        <v>136145302.62</v>
      </c>
      <c r="V20" s="18">
        <f t="shared" si="3"/>
        <v>0.83673758250569463</v>
      </c>
      <c r="W20" s="15">
        <v>118446646.93000001</v>
      </c>
      <c r="X20" s="18">
        <f t="shared" si="4"/>
        <v>0.72796313277689606</v>
      </c>
      <c r="Y20" s="1"/>
      <c r="Z20" s="1"/>
      <c r="AA20" s="1"/>
    </row>
    <row r="21" spans="1:27" ht="64.5" customHeight="1">
      <c r="A21" s="11" t="s">
        <v>45</v>
      </c>
      <c r="B21" s="12" t="s">
        <v>46</v>
      </c>
      <c r="C21" s="12" t="s">
        <v>47</v>
      </c>
      <c r="D21" s="12" t="s">
        <v>67</v>
      </c>
      <c r="E21" s="12" t="s">
        <v>59</v>
      </c>
      <c r="F21" s="12" t="s">
        <v>68</v>
      </c>
      <c r="G21" s="12" t="s">
        <v>51</v>
      </c>
      <c r="H21" s="12" t="s">
        <v>52</v>
      </c>
      <c r="I21" s="12" t="s">
        <v>53</v>
      </c>
      <c r="J21" s="13">
        <v>3</v>
      </c>
      <c r="K21" s="14">
        <v>27383200</v>
      </c>
      <c r="L21" s="15">
        <v>25500</v>
      </c>
      <c r="M21" s="15">
        <v>25500</v>
      </c>
      <c r="N21" s="16">
        <f t="shared" si="0"/>
        <v>27383200</v>
      </c>
      <c r="O21" s="17"/>
      <c r="P21" s="17"/>
      <c r="Q21" s="17"/>
      <c r="R21" s="16">
        <f t="shared" si="1"/>
        <v>27383200</v>
      </c>
      <c r="S21" s="15">
        <v>24734902.34</v>
      </c>
      <c r="T21" s="18">
        <f t="shared" si="2"/>
        <v>0.90328750255631185</v>
      </c>
      <c r="U21" s="19">
        <v>24729927.59</v>
      </c>
      <c r="V21" s="18">
        <f t="shared" si="3"/>
        <v>0.90310583094744223</v>
      </c>
      <c r="W21" s="15">
        <v>19759979.600000001</v>
      </c>
      <c r="X21" s="18">
        <f t="shared" si="4"/>
        <v>0.72160958543924747</v>
      </c>
      <c r="Y21" s="1"/>
      <c r="Z21" s="1"/>
      <c r="AA21" s="1"/>
    </row>
    <row r="22" spans="1:27" ht="64.5" customHeight="1">
      <c r="A22" s="11" t="s">
        <v>45</v>
      </c>
      <c r="B22" s="57" t="s">
        <v>46</v>
      </c>
      <c r="C22" s="57" t="s">
        <v>127</v>
      </c>
      <c r="D22" s="57" t="s">
        <v>128</v>
      </c>
      <c r="E22" s="57" t="s">
        <v>129</v>
      </c>
      <c r="F22" s="57" t="s">
        <v>130</v>
      </c>
      <c r="G22" s="57" t="s">
        <v>51</v>
      </c>
      <c r="H22" s="57" t="s">
        <v>131</v>
      </c>
      <c r="I22" s="57" t="s">
        <v>132</v>
      </c>
      <c r="J22" s="60">
        <v>4</v>
      </c>
      <c r="K22" s="24">
        <v>0</v>
      </c>
      <c r="L22" s="14">
        <v>100000</v>
      </c>
      <c r="M22" s="14">
        <v>0</v>
      </c>
      <c r="N22" s="43">
        <f t="shared" si="0"/>
        <v>100000</v>
      </c>
      <c r="O22" s="44"/>
      <c r="P22" s="44"/>
      <c r="Q22" s="44"/>
      <c r="R22" s="43">
        <f t="shared" si="1"/>
        <v>100000</v>
      </c>
      <c r="S22" s="14">
        <v>0</v>
      </c>
      <c r="T22" s="45">
        <f t="shared" si="2"/>
        <v>0</v>
      </c>
      <c r="U22" s="41">
        <v>0</v>
      </c>
      <c r="V22" s="45">
        <f t="shared" si="3"/>
        <v>0</v>
      </c>
      <c r="W22" s="14">
        <v>0</v>
      </c>
      <c r="X22" s="45">
        <f t="shared" si="4"/>
        <v>0</v>
      </c>
      <c r="Y22" s="1"/>
      <c r="Z22" s="1"/>
      <c r="AA22" s="1"/>
    </row>
    <row r="23" spans="1:27" ht="64.5" customHeight="1">
      <c r="A23" s="11" t="s">
        <v>45</v>
      </c>
      <c r="B23" s="12" t="s">
        <v>46</v>
      </c>
      <c r="C23" s="12" t="s">
        <v>69</v>
      </c>
      <c r="D23" s="12" t="s">
        <v>70</v>
      </c>
      <c r="E23" s="12" t="s">
        <v>59</v>
      </c>
      <c r="F23" s="12" t="s">
        <v>71</v>
      </c>
      <c r="G23" s="12" t="s">
        <v>51</v>
      </c>
      <c r="H23" s="12" t="s">
        <v>52</v>
      </c>
      <c r="I23" s="12" t="s">
        <v>53</v>
      </c>
      <c r="J23" s="22">
        <v>1</v>
      </c>
      <c r="K23" s="24">
        <v>367581</v>
      </c>
      <c r="L23" s="15">
        <v>72649.570000000007</v>
      </c>
      <c r="M23" s="15">
        <v>0</v>
      </c>
      <c r="N23" s="16">
        <f t="shared" si="0"/>
        <v>440230.57</v>
      </c>
      <c r="O23" s="17"/>
      <c r="P23" s="17"/>
      <c r="Q23" s="17"/>
      <c r="R23" s="16">
        <f t="shared" si="1"/>
        <v>440230.57</v>
      </c>
      <c r="S23" s="14">
        <v>440230</v>
      </c>
      <c r="T23" s="18">
        <f t="shared" si="2"/>
        <v>0.99999870522394663</v>
      </c>
      <c r="U23" s="23">
        <v>440230</v>
      </c>
      <c r="V23" s="18">
        <f t="shared" si="3"/>
        <v>0.99999870522394663</v>
      </c>
      <c r="W23" s="15">
        <v>348465</v>
      </c>
      <c r="X23" s="18">
        <f t="shared" si="4"/>
        <v>0.79155111831511382</v>
      </c>
      <c r="Y23" s="1"/>
      <c r="Z23" s="1"/>
      <c r="AA23" s="1"/>
    </row>
    <row r="24" spans="1:27" ht="64.5" customHeight="1">
      <c r="A24" s="11" t="s">
        <v>45</v>
      </c>
      <c r="B24" s="12" t="s">
        <v>46</v>
      </c>
      <c r="C24" s="12" t="s">
        <v>69</v>
      </c>
      <c r="D24" s="12" t="s">
        <v>72</v>
      </c>
      <c r="E24" s="12" t="s">
        <v>59</v>
      </c>
      <c r="F24" s="12" t="s">
        <v>73</v>
      </c>
      <c r="G24" s="12" t="s">
        <v>51</v>
      </c>
      <c r="H24" s="12" t="s">
        <v>52</v>
      </c>
      <c r="I24" s="12" t="s">
        <v>53</v>
      </c>
      <c r="J24" s="22">
        <v>1</v>
      </c>
      <c r="K24" s="24">
        <v>306000</v>
      </c>
      <c r="L24" s="15">
        <v>0</v>
      </c>
      <c r="M24" s="15">
        <v>0</v>
      </c>
      <c r="N24" s="16">
        <f t="shared" si="0"/>
        <v>306000</v>
      </c>
      <c r="O24" s="17"/>
      <c r="P24" s="17"/>
      <c r="Q24" s="17"/>
      <c r="R24" s="16">
        <f t="shared" si="1"/>
        <v>306000</v>
      </c>
      <c r="S24" s="14">
        <v>194972.9</v>
      </c>
      <c r="T24" s="18">
        <f t="shared" si="2"/>
        <v>0.63716633986928106</v>
      </c>
      <c r="U24" s="23">
        <v>194972.9</v>
      </c>
      <c r="V24" s="18">
        <f t="shared" si="3"/>
        <v>0.63716633986928106</v>
      </c>
      <c r="W24" s="15">
        <v>161732.9</v>
      </c>
      <c r="X24" s="18">
        <f t="shared" si="4"/>
        <v>0.52853888888888889</v>
      </c>
      <c r="Y24" s="1"/>
      <c r="Z24" s="1"/>
      <c r="AA24" s="1"/>
    </row>
    <row r="25" spans="1:27" ht="64.5" customHeight="1">
      <c r="A25" s="11" t="s">
        <v>45</v>
      </c>
      <c r="B25" s="12" t="s">
        <v>46</v>
      </c>
      <c r="C25" s="12" t="s">
        <v>74</v>
      </c>
      <c r="D25" s="12" t="s">
        <v>75</v>
      </c>
      <c r="E25" s="12" t="s">
        <v>76</v>
      </c>
      <c r="F25" s="12" t="s">
        <v>77</v>
      </c>
      <c r="G25" s="12" t="s">
        <v>78</v>
      </c>
      <c r="H25" s="12" t="s">
        <v>52</v>
      </c>
      <c r="I25" s="12" t="s">
        <v>53</v>
      </c>
      <c r="J25" s="22">
        <v>1</v>
      </c>
      <c r="K25" s="14">
        <f>146328600-K26</f>
        <v>140090700</v>
      </c>
      <c r="L25" s="15">
        <f>65090437.19-L26</f>
        <v>60385244.229999997</v>
      </c>
      <c r="M25" s="15">
        <f>39428437.19-M26</f>
        <v>39428244.229999997</v>
      </c>
      <c r="N25" s="16">
        <f t="shared" si="0"/>
        <v>161047700</v>
      </c>
      <c r="O25" s="17"/>
      <c r="P25" s="17"/>
      <c r="Q25" s="26">
        <f>-32945548.29-38535158.15</f>
        <v>-71480706.439999998</v>
      </c>
      <c r="R25" s="16">
        <f t="shared" si="1"/>
        <v>89566993.560000002</v>
      </c>
      <c r="S25" s="27">
        <f>92404034.93-S26</f>
        <v>81642361.710000008</v>
      </c>
      <c r="T25" s="18">
        <f t="shared" si="2"/>
        <v>0.91152285529499921</v>
      </c>
      <c r="U25" s="28">
        <f>59943383.03-U26</f>
        <v>53486527.780000001</v>
      </c>
      <c r="V25" s="18">
        <f t="shared" si="3"/>
        <v>0.59716783665592088</v>
      </c>
      <c r="W25" s="27">
        <f>47818430.14-W26</f>
        <v>41370501.049999997</v>
      </c>
      <c r="X25" s="18">
        <f t="shared" si="4"/>
        <v>0.46189449266583149</v>
      </c>
      <c r="Y25" s="1"/>
      <c r="Z25" s="1"/>
      <c r="AA25" s="1"/>
    </row>
    <row r="26" spans="1:27" ht="64.5" customHeight="1">
      <c r="A26" s="11" t="s">
        <v>45</v>
      </c>
      <c r="B26" s="12" t="s">
        <v>46</v>
      </c>
      <c r="C26" s="12" t="s">
        <v>74</v>
      </c>
      <c r="D26" s="12" t="s">
        <v>75</v>
      </c>
      <c r="E26" s="12" t="s">
        <v>76</v>
      </c>
      <c r="F26" s="12" t="s">
        <v>77</v>
      </c>
      <c r="G26" s="12" t="s">
        <v>78</v>
      </c>
      <c r="H26" s="12" t="s">
        <v>52</v>
      </c>
      <c r="I26" s="12" t="s">
        <v>53</v>
      </c>
      <c r="J26" s="13">
        <v>3</v>
      </c>
      <c r="K26" s="14">
        <f>6237900</f>
        <v>6237900</v>
      </c>
      <c r="L26" s="15">
        <f>4705000+192.96</f>
        <v>4705192.96</v>
      </c>
      <c r="M26" s="15">
        <v>192.96</v>
      </c>
      <c r="N26" s="16">
        <f t="shared" si="0"/>
        <v>10942900</v>
      </c>
      <c r="O26" s="17"/>
      <c r="P26" s="17"/>
      <c r="Q26" s="17"/>
      <c r="R26" s="16">
        <f t="shared" si="1"/>
        <v>10942900</v>
      </c>
      <c r="S26" s="27">
        <f>18955.04+243640.26+10498884.96+192.96</f>
        <v>10761673.220000003</v>
      </c>
      <c r="T26" s="18">
        <f t="shared" si="2"/>
        <v>0.9834388708660412</v>
      </c>
      <c r="U26" s="29">
        <f>18955.04+243640.26+6194066.99+192.96</f>
        <v>6456855.25</v>
      </c>
      <c r="V26" s="18">
        <f t="shared" si="3"/>
        <v>0.59004973544490036</v>
      </c>
      <c r="W26" s="25">
        <f>18955.04+234714.1+6194066.99+192.96</f>
        <v>6447929.0899999999</v>
      </c>
      <c r="X26" s="18">
        <f t="shared" si="4"/>
        <v>0.58923403211214576</v>
      </c>
      <c r="Y26" s="1"/>
      <c r="Z26" s="1"/>
      <c r="AA26" s="1"/>
    </row>
    <row r="27" spans="1:27" ht="64.5" customHeight="1">
      <c r="A27" s="11" t="s">
        <v>45</v>
      </c>
      <c r="B27" s="30" t="s">
        <v>46</v>
      </c>
      <c r="C27" s="30" t="s">
        <v>79</v>
      </c>
      <c r="D27" s="30" t="s">
        <v>80</v>
      </c>
      <c r="E27" s="30" t="s">
        <v>81</v>
      </c>
      <c r="F27" s="30" t="s">
        <v>82</v>
      </c>
      <c r="G27" s="30" t="s">
        <v>51</v>
      </c>
      <c r="H27" s="30" t="s">
        <v>52</v>
      </c>
      <c r="I27" s="12" t="s">
        <v>53</v>
      </c>
      <c r="J27" s="22">
        <v>1</v>
      </c>
      <c r="K27" s="15">
        <v>843000</v>
      </c>
      <c r="L27" s="15">
        <v>122924.43</v>
      </c>
      <c r="M27" s="15">
        <v>0</v>
      </c>
      <c r="N27" s="16">
        <f t="shared" si="0"/>
        <v>965924.42999999993</v>
      </c>
      <c r="O27" s="17"/>
      <c r="P27" s="17"/>
      <c r="Q27" s="17"/>
      <c r="R27" s="16">
        <f t="shared" si="1"/>
        <v>965924.42999999993</v>
      </c>
      <c r="S27" s="15">
        <v>965924.43</v>
      </c>
      <c r="T27" s="18">
        <f t="shared" si="2"/>
        <v>1.0000000000000002</v>
      </c>
      <c r="U27" s="23">
        <v>965924.43</v>
      </c>
      <c r="V27" s="18">
        <f t="shared" si="3"/>
        <v>1.0000000000000002</v>
      </c>
      <c r="W27" s="15">
        <v>965924.43</v>
      </c>
      <c r="X27" s="18">
        <f t="shared" si="4"/>
        <v>1.0000000000000002</v>
      </c>
      <c r="Y27" s="1"/>
      <c r="Z27" s="1"/>
      <c r="AA27" s="1"/>
    </row>
    <row r="28" spans="1:27" ht="18.75" customHeight="1">
      <c r="A28" s="83" t="s">
        <v>83</v>
      </c>
      <c r="B28" s="68"/>
      <c r="C28" s="68"/>
      <c r="D28" s="68"/>
      <c r="E28" s="68"/>
      <c r="F28" s="68"/>
      <c r="G28" s="68"/>
      <c r="H28" s="68"/>
      <c r="I28" s="68"/>
      <c r="J28" s="69"/>
      <c r="K28" s="31">
        <f t="shared" ref="K28:S28" si="5">SUM(K14:K27)</f>
        <v>1099633000</v>
      </c>
      <c r="L28" s="31">
        <f t="shared" si="5"/>
        <v>89397885.060000002</v>
      </c>
      <c r="M28" s="31">
        <f t="shared" si="5"/>
        <v>89297885.059999987</v>
      </c>
      <c r="N28" s="31">
        <f t="shared" si="5"/>
        <v>1099733000.0000002</v>
      </c>
      <c r="O28" s="31">
        <f t="shared" si="5"/>
        <v>0</v>
      </c>
      <c r="P28" s="31">
        <f t="shared" si="5"/>
        <v>0</v>
      </c>
      <c r="Q28" s="31">
        <f t="shared" si="5"/>
        <v>-71480706.439999998</v>
      </c>
      <c r="R28" s="31">
        <f t="shared" si="5"/>
        <v>1028252293.5600001</v>
      </c>
      <c r="S28" s="31">
        <f t="shared" si="5"/>
        <v>913344077.72000003</v>
      </c>
      <c r="T28" s="32">
        <f t="shared" si="2"/>
        <v>0.88824900604678791</v>
      </c>
      <c r="U28" s="31">
        <f>SUM(U14:U27)</f>
        <v>866465242.39999998</v>
      </c>
      <c r="V28" s="32">
        <f t="shared" si="3"/>
        <v>0.84265821513525307</v>
      </c>
      <c r="W28" s="31">
        <f>SUM(W14:W27)</f>
        <v>737721115.27999997</v>
      </c>
      <c r="X28" s="32">
        <f t="shared" si="4"/>
        <v>0.71745146585170527</v>
      </c>
      <c r="Y28" s="1"/>
      <c r="Z28" s="1"/>
      <c r="AA28" s="1"/>
    </row>
    <row r="29" spans="1:27" ht="18.7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4"/>
      <c r="V29" s="35"/>
      <c r="W29" s="34"/>
      <c r="X29" s="35"/>
      <c r="Y29" s="1"/>
      <c r="Z29" s="1"/>
      <c r="AA29" s="1"/>
    </row>
    <row r="30" spans="1:27" ht="14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7"/>
      <c r="V30" s="38"/>
      <c r="W30" s="37"/>
      <c r="X30" s="38"/>
      <c r="Y30" s="1"/>
      <c r="Z30" s="1"/>
      <c r="AA30" s="1"/>
    </row>
    <row r="31" spans="1:27" ht="63" customHeight="1">
      <c r="A31" s="11" t="s">
        <v>84</v>
      </c>
      <c r="B31" s="12" t="s">
        <v>85</v>
      </c>
      <c r="C31" s="12" t="s">
        <v>47</v>
      </c>
      <c r="D31" s="12" t="s">
        <v>86</v>
      </c>
      <c r="E31" s="12" t="s">
        <v>49</v>
      </c>
      <c r="F31" s="12" t="s">
        <v>87</v>
      </c>
      <c r="G31" s="12" t="s">
        <v>51</v>
      </c>
      <c r="H31" s="12" t="s">
        <v>88</v>
      </c>
      <c r="I31" s="12" t="s">
        <v>89</v>
      </c>
      <c r="J31" s="39">
        <v>4</v>
      </c>
      <c r="K31" s="24">
        <v>5240500</v>
      </c>
      <c r="L31" s="15">
        <v>0</v>
      </c>
      <c r="M31" s="15">
        <v>4736538.2</v>
      </c>
      <c r="N31" s="16">
        <f t="shared" ref="N31:N68" si="6">K31+L31-M31</f>
        <v>503961.79999999981</v>
      </c>
      <c r="O31" s="17"/>
      <c r="P31" s="17"/>
      <c r="Q31" s="17"/>
      <c r="R31" s="16">
        <f t="shared" ref="R31:R68" si="7">N31-O31+P31+Q31</f>
        <v>503961.79999999981</v>
      </c>
      <c r="S31" s="40">
        <v>0</v>
      </c>
      <c r="T31" s="18">
        <f t="shared" ref="T31:T70" si="8">IF(R31&gt;0,S31/R31,0)</f>
        <v>0</v>
      </c>
      <c r="U31" s="41">
        <v>0</v>
      </c>
      <c r="V31" s="18">
        <f t="shared" ref="V31:V70" si="9">IF(R31&gt;0,U31/R31,0)</f>
        <v>0</v>
      </c>
      <c r="W31" s="15">
        <v>0</v>
      </c>
      <c r="X31" s="18">
        <f t="shared" ref="X31:X70" si="10">IF(R31&gt;0,W31/R31,0)</f>
        <v>0</v>
      </c>
      <c r="Y31" s="1"/>
      <c r="Z31" s="1"/>
      <c r="AA31" s="1"/>
    </row>
    <row r="32" spans="1:27" ht="63" customHeight="1">
      <c r="A32" s="11" t="s">
        <v>84</v>
      </c>
      <c r="B32" s="12" t="s">
        <v>85</v>
      </c>
      <c r="C32" s="12" t="s">
        <v>47</v>
      </c>
      <c r="D32" s="57" t="s">
        <v>123</v>
      </c>
      <c r="E32" s="12" t="s">
        <v>49</v>
      </c>
      <c r="F32" s="12" t="s">
        <v>87</v>
      </c>
      <c r="G32" s="12" t="s">
        <v>51</v>
      </c>
      <c r="H32" s="57" t="s">
        <v>121</v>
      </c>
      <c r="I32" s="12" t="s">
        <v>89</v>
      </c>
      <c r="J32" s="39">
        <v>4</v>
      </c>
      <c r="K32" s="24">
        <v>0</v>
      </c>
      <c r="L32" s="15">
        <v>1356170.79</v>
      </c>
      <c r="M32" s="15">
        <v>0</v>
      </c>
      <c r="N32" s="16">
        <f t="shared" si="6"/>
        <v>1356170.79</v>
      </c>
      <c r="O32" s="17"/>
      <c r="P32" s="17"/>
      <c r="Q32" s="17"/>
      <c r="R32" s="16">
        <f t="shared" si="7"/>
        <v>1356170.79</v>
      </c>
      <c r="S32" s="40">
        <v>699270.34</v>
      </c>
      <c r="T32" s="18">
        <f t="shared" si="8"/>
        <v>0.51562114827734928</v>
      </c>
      <c r="U32" s="41">
        <v>0</v>
      </c>
      <c r="V32" s="18">
        <f t="shared" si="9"/>
        <v>0</v>
      </c>
      <c r="W32" s="15">
        <v>0</v>
      </c>
      <c r="X32" s="18">
        <f t="shared" si="10"/>
        <v>0</v>
      </c>
      <c r="Y32" s="1"/>
      <c r="Z32" s="1"/>
      <c r="AA32" s="1"/>
    </row>
    <row r="33" spans="1:27" ht="63" customHeight="1">
      <c r="A33" s="11" t="s">
        <v>84</v>
      </c>
      <c r="B33" s="12" t="s">
        <v>85</v>
      </c>
      <c r="C33" s="12" t="s">
        <v>47</v>
      </c>
      <c r="D33" s="12" t="s">
        <v>90</v>
      </c>
      <c r="E33" s="12" t="s">
        <v>49</v>
      </c>
      <c r="F33" s="12" t="s">
        <v>87</v>
      </c>
      <c r="G33" s="12" t="s">
        <v>51</v>
      </c>
      <c r="H33" s="12" t="s">
        <v>88</v>
      </c>
      <c r="I33" s="12" t="s">
        <v>89</v>
      </c>
      <c r="J33" s="39">
        <v>4</v>
      </c>
      <c r="K33" s="24">
        <v>0</v>
      </c>
      <c r="L33" s="15">
        <v>1213295.44</v>
      </c>
      <c r="M33" s="15">
        <v>0</v>
      </c>
      <c r="N33" s="16">
        <f t="shared" si="6"/>
        <v>1213295.44</v>
      </c>
      <c r="O33" s="17"/>
      <c r="P33" s="17"/>
      <c r="Q33" s="17"/>
      <c r="R33" s="16">
        <f t="shared" si="7"/>
        <v>1213295.44</v>
      </c>
      <c r="S33" s="40">
        <v>1213295.44</v>
      </c>
      <c r="T33" s="18">
        <f t="shared" si="8"/>
        <v>1</v>
      </c>
      <c r="U33" s="41">
        <v>1199096.82</v>
      </c>
      <c r="V33" s="18">
        <f t="shared" si="9"/>
        <v>0.98829747518048872</v>
      </c>
      <c r="W33" s="15">
        <v>1199096.82</v>
      </c>
      <c r="X33" s="18">
        <f t="shared" si="10"/>
        <v>0.98829747518048872</v>
      </c>
      <c r="Y33" s="1"/>
      <c r="Z33" s="1"/>
      <c r="AA33" s="1"/>
    </row>
    <row r="34" spans="1:27" ht="63" customHeight="1">
      <c r="A34" s="11" t="s">
        <v>84</v>
      </c>
      <c r="B34" s="12" t="s">
        <v>85</v>
      </c>
      <c r="C34" s="12" t="s">
        <v>47</v>
      </c>
      <c r="D34" s="57" t="s">
        <v>124</v>
      </c>
      <c r="E34" s="12" t="s">
        <v>49</v>
      </c>
      <c r="F34" s="12" t="s">
        <v>87</v>
      </c>
      <c r="G34" s="12" t="s">
        <v>51</v>
      </c>
      <c r="H34" s="57" t="s">
        <v>121</v>
      </c>
      <c r="I34" s="12" t="s">
        <v>89</v>
      </c>
      <c r="J34" s="39">
        <v>4</v>
      </c>
      <c r="K34" s="24">
        <v>0</v>
      </c>
      <c r="L34" s="15">
        <v>3279107</v>
      </c>
      <c r="M34" s="15">
        <v>191800.79</v>
      </c>
      <c r="N34" s="16">
        <f t="shared" si="6"/>
        <v>3087306.21</v>
      </c>
      <c r="O34" s="17"/>
      <c r="P34" s="17"/>
      <c r="Q34" s="17"/>
      <c r="R34" s="16">
        <f t="shared" si="7"/>
        <v>3087306.21</v>
      </c>
      <c r="S34" s="40">
        <v>697293.3</v>
      </c>
      <c r="T34" s="18">
        <f t="shared" si="8"/>
        <v>0.22585816001711087</v>
      </c>
      <c r="U34" s="41">
        <v>0</v>
      </c>
      <c r="V34" s="18">
        <f t="shared" si="9"/>
        <v>0</v>
      </c>
      <c r="W34" s="15">
        <v>0</v>
      </c>
      <c r="X34" s="18">
        <f t="shared" si="10"/>
        <v>0</v>
      </c>
      <c r="Y34" s="1"/>
      <c r="Z34" s="1"/>
      <c r="AA34" s="1"/>
    </row>
    <row r="35" spans="1:27" ht="63" customHeight="1">
      <c r="A35" s="11" t="s">
        <v>84</v>
      </c>
      <c r="B35" s="12" t="s">
        <v>85</v>
      </c>
      <c r="C35" s="12" t="s">
        <v>47</v>
      </c>
      <c r="D35" s="12" t="s">
        <v>91</v>
      </c>
      <c r="E35" s="12" t="s">
        <v>49</v>
      </c>
      <c r="F35" s="12" t="s">
        <v>87</v>
      </c>
      <c r="G35" s="12" t="s">
        <v>51</v>
      </c>
      <c r="H35" s="12" t="s">
        <v>88</v>
      </c>
      <c r="I35" s="12" t="s">
        <v>89</v>
      </c>
      <c r="J35" s="39">
        <v>4</v>
      </c>
      <c r="K35" s="24">
        <v>0</v>
      </c>
      <c r="L35" s="15">
        <v>449787.42</v>
      </c>
      <c r="M35" s="15">
        <v>0</v>
      </c>
      <c r="N35" s="16">
        <f t="shared" si="6"/>
        <v>449787.42</v>
      </c>
      <c r="O35" s="17"/>
      <c r="P35" s="17"/>
      <c r="Q35" s="17"/>
      <c r="R35" s="16">
        <f t="shared" si="7"/>
        <v>449787.42</v>
      </c>
      <c r="S35" s="40">
        <v>449787.42</v>
      </c>
      <c r="T35" s="18">
        <f t="shared" si="8"/>
        <v>1</v>
      </c>
      <c r="U35" s="41">
        <v>325526.96000000002</v>
      </c>
      <c r="V35" s="18">
        <f t="shared" si="9"/>
        <v>0.72373513692312696</v>
      </c>
      <c r="W35" s="15">
        <v>325526.96000000002</v>
      </c>
      <c r="X35" s="18">
        <f t="shared" si="10"/>
        <v>0.72373513692312696</v>
      </c>
      <c r="Y35" s="1"/>
      <c r="Z35" s="1"/>
      <c r="AA35" s="1"/>
    </row>
    <row r="36" spans="1:27" ht="63" customHeight="1">
      <c r="A36" s="59" t="s">
        <v>84</v>
      </c>
      <c r="B36" s="12" t="s">
        <v>85</v>
      </c>
      <c r="C36" s="57" t="s">
        <v>47</v>
      </c>
      <c r="D36" s="57" t="s">
        <v>125</v>
      </c>
      <c r="E36" s="12" t="s">
        <v>49</v>
      </c>
      <c r="F36" s="12" t="s">
        <v>87</v>
      </c>
      <c r="G36" s="57" t="s">
        <v>51</v>
      </c>
      <c r="H36" s="57" t="s">
        <v>121</v>
      </c>
      <c r="I36" s="12" t="s">
        <v>89</v>
      </c>
      <c r="J36" s="60">
        <v>4</v>
      </c>
      <c r="K36" s="24">
        <v>0</v>
      </c>
      <c r="L36" s="15">
        <v>951921</v>
      </c>
      <c r="M36" s="15">
        <v>0</v>
      </c>
      <c r="N36" s="16">
        <f t="shared" si="6"/>
        <v>951921</v>
      </c>
      <c r="O36" s="17"/>
      <c r="P36" s="17"/>
      <c r="Q36" s="17"/>
      <c r="R36" s="16">
        <f t="shared" si="7"/>
        <v>951921</v>
      </c>
      <c r="S36" s="40">
        <v>0</v>
      </c>
      <c r="T36" s="18">
        <f t="shared" si="8"/>
        <v>0</v>
      </c>
      <c r="U36" s="41">
        <v>0</v>
      </c>
      <c r="V36" s="18">
        <f t="shared" si="9"/>
        <v>0</v>
      </c>
      <c r="W36" s="15">
        <v>0</v>
      </c>
      <c r="X36" s="18">
        <f t="shared" si="10"/>
        <v>0</v>
      </c>
      <c r="Y36" s="1"/>
      <c r="Z36" s="1"/>
      <c r="AA36" s="1"/>
    </row>
    <row r="37" spans="1:27" ht="63" customHeight="1">
      <c r="A37" s="59" t="s">
        <v>84</v>
      </c>
      <c r="B37" s="12" t="s">
        <v>85</v>
      </c>
      <c r="C37" s="57" t="s">
        <v>47</v>
      </c>
      <c r="D37" s="57" t="s">
        <v>133</v>
      </c>
      <c r="E37" s="12" t="s">
        <v>49</v>
      </c>
      <c r="F37" s="12" t="s">
        <v>87</v>
      </c>
      <c r="G37" s="57" t="s">
        <v>51</v>
      </c>
      <c r="H37" s="57" t="s">
        <v>121</v>
      </c>
      <c r="I37" s="12" t="s">
        <v>89</v>
      </c>
      <c r="J37" s="60">
        <v>4</v>
      </c>
      <c r="K37" s="24">
        <v>0</v>
      </c>
      <c r="L37" s="15">
        <v>637352</v>
      </c>
      <c r="M37" s="15">
        <v>0</v>
      </c>
      <c r="N37" s="16">
        <f t="shared" si="6"/>
        <v>637352</v>
      </c>
      <c r="O37" s="17"/>
      <c r="P37" s="17"/>
      <c r="Q37" s="17"/>
      <c r="R37" s="16">
        <f t="shared" si="7"/>
        <v>637352</v>
      </c>
      <c r="S37" s="40">
        <v>0</v>
      </c>
      <c r="T37" s="18">
        <f t="shared" si="8"/>
        <v>0</v>
      </c>
      <c r="U37" s="41">
        <v>0</v>
      </c>
      <c r="V37" s="18">
        <f t="shared" si="9"/>
        <v>0</v>
      </c>
      <c r="W37" s="15">
        <v>0</v>
      </c>
      <c r="X37" s="18">
        <f t="shared" si="10"/>
        <v>0</v>
      </c>
      <c r="Y37" s="1"/>
      <c r="Z37" s="1"/>
      <c r="AA37" s="1"/>
    </row>
    <row r="38" spans="1:27" ht="63" customHeight="1">
      <c r="A38" s="11" t="s">
        <v>84</v>
      </c>
      <c r="B38" s="12" t="s">
        <v>85</v>
      </c>
      <c r="C38" s="12" t="s">
        <v>47</v>
      </c>
      <c r="D38" s="12" t="s">
        <v>92</v>
      </c>
      <c r="E38" s="12" t="s">
        <v>49</v>
      </c>
      <c r="F38" s="12" t="s">
        <v>87</v>
      </c>
      <c r="G38" s="12" t="s">
        <v>51</v>
      </c>
      <c r="H38" s="12" t="s">
        <v>88</v>
      </c>
      <c r="I38" s="12" t="s">
        <v>89</v>
      </c>
      <c r="J38" s="39">
        <v>4</v>
      </c>
      <c r="K38" s="24">
        <v>0</v>
      </c>
      <c r="L38" s="15">
        <v>15347283.539999999</v>
      </c>
      <c r="M38" s="15">
        <v>0</v>
      </c>
      <c r="N38" s="16">
        <f t="shared" si="6"/>
        <v>15347283.539999999</v>
      </c>
      <c r="O38" s="17"/>
      <c r="P38" s="17"/>
      <c r="Q38" s="17"/>
      <c r="R38" s="16">
        <f t="shared" si="7"/>
        <v>15347283.539999999</v>
      </c>
      <c r="S38" s="40">
        <v>15210545.98</v>
      </c>
      <c r="T38" s="18">
        <f t="shared" si="8"/>
        <v>0.99109043892727877</v>
      </c>
      <c r="U38" s="41">
        <v>7928562.5800000001</v>
      </c>
      <c r="V38" s="18">
        <f t="shared" si="9"/>
        <v>0.51661015836031143</v>
      </c>
      <c r="W38" s="15">
        <v>7928562.5800000001</v>
      </c>
      <c r="X38" s="18">
        <f t="shared" si="10"/>
        <v>0.51661015836031143</v>
      </c>
      <c r="Y38" s="1"/>
      <c r="Z38" s="1"/>
      <c r="AA38" s="1"/>
    </row>
    <row r="39" spans="1:27" ht="63" customHeight="1">
      <c r="A39" s="11" t="s">
        <v>84</v>
      </c>
      <c r="B39" s="12" t="s">
        <v>85</v>
      </c>
      <c r="C39" s="57" t="s">
        <v>47</v>
      </c>
      <c r="D39" s="57" t="s">
        <v>92</v>
      </c>
      <c r="E39" s="12" t="s">
        <v>49</v>
      </c>
      <c r="F39" s="12" t="s">
        <v>87</v>
      </c>
      <c r="G39" s="57" t="s">
        <v>51</v>
      </c>
      <c r="H39" s="57" t="s">
        <v>121</v>
      </c>
      <c r="I39" s="12" t="s">
        <v>89</v>
      </c>
      <c r="J39" s="60">
        <v>4</v>
      </c>
      <c r="K39" s="24">
        <v>0</v>
      </c>
      <c r="L39" s="15">
        <v>791867.93</v>
      </c>
      <c r="M39" s="15">
        <v>0</v>
      </c>
      <c r="N39" s="16">
        <f t="shared" si="6"/>
        <v>791867.93</v>
      </c>
      <c r="O39" s="17"/>
      <c r="P39" s="17"/>
      <c r="Q39" s="17"/>
      <c r="R39" s="16">
        <f t="shared" si="7"/>
        <v>791867.93</v>
      </c>
      <c r="S39" s="40">
        <v>0</v>
      </c>
      <c r="T39" s="18">
        <f t="shared" si="8"/>
        <v>0</v>
      </c>
      <c r="U39" s="41">
        <v>0</v>
      </c>
      <c r="V39" s="18">
        <f t="shared" si="9"/>
        <v>0</v>
      </c>
      <c r="W39" s="15">
        <v>0</v>
      </c>
      <c r="X39" s="18">
        <f t="shared" si="10"/>
        <v>0</v>
      </c>
      <c r="Y39" s="1"/>
      <c r="Z39" s="1"/>
      <c r="AA39" s="1"/>
    </row>
    <row r="40" spans="1:27" ht="63" customHeight="1">
      <c r="A40" s="11" t="s">
        <v>84</v>
      </c>
      <c r="B40" s="12" t="s">
        <v>85</v>
      </c>
      <c r="C40" s="12" t="s">
        <v>47</v>
      </c>
      <c r="D40" s="12" t="s">
        <v>93</v>
      </c>
      <c r="E40" s="12" t="s">
        <v>49</v>
      </c>
      <c r="F40" s="12" t="s">
        <v>94</v>
      </c>
      <c r="G40" s="12" t="s">
        <v>51</v>
      </c>
      <c r="H40" s="12" t="s">
        <v>88</v>
      </c>
      <c r="I40" s="12" t="s">
        <v>89</v>
      </c>
      <c r="J40" s="39">
        <v>4</v>
      </c>
      <c r="K40" s="24">
        <v>1379400</v>
      </c>
      <c r="L40" s="15">
        <v>0</v>
      </c>
      <c r="M40" s="15">
        <v>0</v>
      </c>
      <c r="N40" s="16">
        <f t="shared" si="6"/>
        <v>1379400</v>
      </c>
      <c r="O40" s="17"/>
      <c r="P40" s="17"/>
      <c r="Q40" s="17"/>
      <c r="R40" s="16">
        <f t="shared" si="7"/>
        <v>1379400</v>
      </c>
      <c r="S40" s="40">
        <v>0</v>
      </c>
      <c r="T40" s="18">
        <f t="shared" si="8"/>
        <v>0</v>
      </c>
      <c r="U40" s="41">
        <v>0</v>
      </c>
      <c r="V40" s="18">
        <f t="shared" si="9"/>
        <v>0</v>
      </c>
      <c r="W40" s="15">
        <v>0</v>
      </c>
      <c r="X40" s="18">
        <f t="shared" si="10"/>
        <v>0</v>
      </c>
      <c r="Y40" s="1"/>
      <c r="Z40" s="1"/>
      <c r="AA40" s="1"/>
    </row>
    <row r="41" spans="1:27" ht="63" customHeight="1">
      <c r="A41" s="11" t="s">
        <v>84</v>
      </c>
      <c r="B41" s="12" t="s">
        <v>85</v>
      </c>
      <c r="C41" s="12" t="s">
        <v>47</v>
      </c>
      <c r="D41" s="12" t="s">
        <v>48</v>
      </c>
      <c r="E41" s="12" t="s">
        <v>49</v>
      </c>
      <c r="F41" s="12" t="s">
        <v>95</v>
      </c>
      <c r="G41" s="12" t="s">
        <v>51</v>
      </c>
      <c r="H41" s="12" t="s">
        <v>88</v>
      </c>
      <c r="I41" s="12" t="s">
        <v>89</v>
      </c>
      <c r="J41" s="13">
        <v>3</v>
      </c>
      <c r="K41" s="42">
        <f>162737000-K42</f>
        <v>160337000</v>
      </c>
      <c r="L41" s="15">
        <f>19144772.49-L42</f>
        <v>18412085.289999999</v>
      </c>
      <c r="M41" s="15">
        <f>45646974.71-M42</f>
        <v>45594995.509999998</v>
      </c>
      <c r="N41" s="16">
        <f t="shared" si="6"/>
        <v>133154089.78</v>
      </c>
      <c r="O41" s="17"/>
      <c r="P41" s="17"/>
      <c r="Q41" s="17"/>
      <c r="R41" s="16">
        <f t="shared" si="7"/>
        <v>133154089.78</v>
      </c>
      <c r="S41" s="42">
        <f>105913090.52-S42</f>
        <v>103152451.53999999</v>
      </c>
      <c r="T41" s="18">
        <f t="shared" si="8"/>
        <v>0.77468481599349037</v>
      </c>
      <c r="U41" s="19">
        <f>70122089.35-U42</f>
        <v>68589196.5</v>
      </c>
      <c r="V41" s="18">
        <f t="shared" si="9"/>
        <v>0.51511145180237816</v>
      </c>
      <c r="W41" s="15">
        <f>69586011.8-W42</f>
        <v>68053118.950000003</v>
      </c>
      <c r="X41" s="18">
        <f t="shared" si="10"/>
        <v>0.51108545792651805</v>
      </c>
      <c r="Y41" s="1"/>
      <c r="Z41" s="1"/>
      <c r="AA41" s="1"/>
    </row>
    <row r="42" spans="1:27" ht="63" customHeight="1">
      <c r="A42" s="11" t="s">
        <v>84</v>
      </c>
      <c r="B42" s="12" t="s">
        <v>85</v>
      </c>
      <c r="C42" s="12" t="s">
        <v>47</v>
      </c>
      <c r="D42" s="12" t="s">
        <v>48</v>
      </c>
      <c r="E42" s="12" t="s">
        <v>49</v>
      </c>
      <c r="F42" s="12" t="s">
        <v>95</v>
      </c>
      <c r="G42" s="12" t="s">
        <v>51</v>
      </c>
      <c r="H42" s="12" t="s">
        <v>88</v>
      </c>
      <c r="I42" s="12" t="s">
        <v>89</v>
      </c>
      <c r="J42" s="39">
        <v>4</v>
      </c>
      <c r="K42" s="24">
        <f>2400000</f>
        <v>2400000</v>
      </c>
      <c r="L42" s="15">
        <f>680708+51979.2</f>
        <v>732687.2</v>
      </c>
      <c r="M42" s="15">
        <f>51979.2</f>
        <v>51979.199999999997</v>
      </c>
      <c r="N42" s="16">
        <f t="shared" si="6"/>
        <v>3080708</v>
      </c>
      <c r="O42" s="17"/>
      <c r="P42" s="17"/>
      <c r="Q42" s="17"/>
      <c r="R42" s="16">
        <f t="shared" si="7"/>
        <v>3080708</v>
      </c>
      <c r="S42" s="27">
        <f>108.97+221025+4494+1518800.86+15550+195700.24+6599.98+611857.5+134523.23+51979.2</f>
        <v>2760638.98</v>
      </c>
      <c r="T42" s="18">
        <f t="shared" si="8"/>
        <v>0.8961053692852422</v>
      </c>
      <c r="U42" s="41">
        <f>176670+605044.65+4850+85147+604702+4500+51979.2</f>
        <v>1532892.8499999999</v>
      </c>
      <c r="V42" s="18">
        <f t="shared" si="9"/>
        <v>0.49757810542251973</v>
      </c>
      <c r="W42" s="15">
        <f>176670+605044.65+4850+85147+604702+4500+51979.2</f>
        <v>1532892.8499999999</v>
      </c>
      <c r="X42" s="18">
        <f t="shared" si="10"/>
        <v>0.49757810542251973</v>
      </c>
      <c r="Y42" s="1"/>
      <c r="Z42" s="1"/>
      <c r="AA42" s="1"/>
    </row>
    <row r="43" spans="1:27" ht="63" customHeight="1">
      <c r="A43" s="11" t="s">
        <v>84</v>
      </c>
      <c r="B43" s="12" t="s">
        <v>85</v>
      </c>
      <c r="C43" s="12" t="s">
        <v>47</v>
      </c>
      <c r="D43" s="12" t="s">
        <v>48</v>
      </c>
      <c r="E43" s="12" t="s">
        <v>49</v>
      </c>
      <c r="F43" s="12" t="s">
        <v>95</v>
      </c>
      <c r="G43" s="12" t="s">
        <v>51</v>
      </c>
      <c r="H43" s="57" t="s">
        <v>121</v>
      </c>
      <c r="I43" s="12" t="s">
        <v>89</v>
      </c>
      <c r="J43" s="13">
        <v>3</v>
      </c>
      <c r="K43" s="24">
        <v>0</v>
      </c>
      <c r="L43" s="15">
        <v>19163650.059999999</v>
      </c>
      <c r="M43" s="15">
        <v>0</v>
      </c>
      <c r="N43" s="16">
        <f t="shared" si="6"/>
        <v>19163650.059999999</v>
      </c>
      <c r="O43" s="17"/>
      <c r="P43" s="17"/>
      <c r="Q43" s="17"/>
      <c r="R43" s="16">
        <f t="shared" si="7"/>
        <v>19163650.059999999</v>
      </c>
      <c r="S43" s="24">
        <v>14100579.939999999</v>
      </c>
      <c r="T43" s="18">
        <f t="shared" si="8"/>
        <v>0.73579823759315721</v>
      </c>
      <c r="U43" s="19">
        <v>7998972.6100000003</v>
      </c>
      <c r="V43" s="18">
        <f t="shared" si="9"/>
        <v>0.41740339574954655</v>
      </c>
      <c r="W43" s="15">
        <v>7998972.6100000003</v>
      </c>
      <c r="X43" s="18">
        <f t="shared" si="10"/>
        <v>0.41740339574954655</v>
      </c>
      <c r="Y43" s="1"/>
      <c r="Z43" s="1"/>
      <c r="AA43" s="1"/>
    </row>
    <row r="44" spans="1:27" ht="63" customHeight="1">
      <c r="A44" s="11" t="s">
        <v>84</v>
      </c>
      <c r="B44" s="12" t="s">
        <v>85</v>
      </c>
      <c r="C44" s="12" t="s">
        <v>47</v>
      </c>
      <c r="D44" s="12" t="s">
        <v>54</v>
      </c>
      <c r="E44" s="12" t="s">
        <v>49</v>
      </c>
      <c r="F44" s="12" t="s">
        <v>96</v>
      </c>
      <c r="G44" s="12" t="s">
        <v>51</v>
      </c>
      <c r="H44" s="12" t="s">
        <v>88</v>
      </c>
      <c r="I44" s="12" t="s">
        <v>89</v>
      </c>
      <c r="J44" s="13">
        <v>3</v>
      </c>
      <c r="K44" s="24">
        <v>100000</v>
      </c>
      <c r="L44" s="14">
        <v>0</v>
      </c>
      <c r="M44" s="14">
        <v>100000</v>
      </c>
      <c r="N44" s="43">
        <f t="shared" si="6"/>
        <v>0</v>
      </c>
      <c r="O44" s="44"/>
      <c r="P44" s="44"/>
      <c r="Q44" s="44"/>
      <c r="R44" s="43">
        <f t="shared" si="7"/>
        <v>0</v>
      </c>
      <c r="S44" s="14">
        <v>0</v>
      </c>
      <c r="T44" s="45">
        <f t="shared" si="8"/>
        <v>0</v>
      </c>
      <c r="U44" s="19">
        <v>0</v>
      </c>
      <c r="V44" s="45">
        <f t="shared" si="9"/>
        <v>0</v>
      </c>
      <c r="W44" s="14">
        <v>0</v>
      </c>
      <c r="X44" s="45">
        <f t="shared" si="10"/>
        <v>0</v>
      </c>
      <c r="Y44" s="1"/>
      <c r="Z44" s="1"/>
      <c r="AA44" s="1"/>
    </row>
    <row r="45" spans="1:27" ht="63" customHeight="1">
      <c r="A45" s="11" t="s">
        <v>84</v>
      </c>
      <c r="B45" s="12" t="s">
        <v>85</v>
      </c>
      <c r="C45" s="12" t="s">
        <v>47</v>
      </c>
      <c r="D45" s="12" t="s">
        <v>54</v>
      </c>
      <c r="E45" s="12" t="s">
        <v>49</v>
      </c>
      <c r="F45" s="12" t="s">
        <v>96</v>
      </c>
      <c r="G45" s="12" t="s">
        <v>51</v>
      </c>
      <c r="H45" s="57" t="s">
        <v>121</v>
      </c>
      <c r="I45" s="12" t="s">
        <v>89</v>
      </c>
      <c r="J45" s="13">
        <v>3</v>
      </c>
      <c r="K45" s="24">
        <v>0</v>
      </c>
      <c r="L45" s="14">
        <v>18163875.030000001</v>
      </c>
      <c r="M45" s="14">
        <v>0</v>
      </c>
      <c r="N45" s="43">
        <f t="shared" si="6"/>
        <v>18163875.030000001</v>
      </c>
      <c r="O45" s="44"/>
      <c r="P45" s="44"/>
      <c r="Q45" s="44"/>
      <c r="R45" s="43">
        <f t="shared" si="7"/>
        <v>18163875.030000001</v>
      </c>
      <c r="S45" s="14">
        <v>17741300.809999999</v>
      </c>
      <c r="T45" s="45">
        <f t="shared" si="8"/>
        <v>0.97673545874423462</v>
      </c>
      <c r="U45" s="19">
        <v>9006616.8900000006</v>
      </c>
      <c r="V45" s="45">
        <f t="shared" si="9"/>
        <v>0.49585327333096058</v>
      </c>
      <c r="W45" s="14">
        <v>9006616.8900000006</v>
      </c>
      <c r="X45" s="45">
        <f t="shared" si="10"/>
        <v>0.49585327333096058</v>
      </c>
      <c r="Y45" s="1"/>
      <c r="Z45" s="1"/>
      <c r="AA45" s="1"/>
    </row>
    <row r="46" spans="1:27" ht="63" customHeight="1">
      <c r="A46" s="11" t="s">
        <v>84</v>
      </c>
      <c r="B46" s="12" t="s">
        <v>85</v>
      </c>
      <c r="C46" s="12" t="s">
        <v>47</v>
      </c>
      <c r="D46" s="12" t="s">
        <v>97</v>
      </c>
      <c r="E46" s="12" t="s">
        <v>59</v>
      </c>
      <c r="F46" s="12" t="s">
        <v>98</v>
      </c>
      <c r="G46" s="12" t="s">
        <v>51</v>
      </c>
      <c r="H46" s="12" t="s">
        <v>88</v>
      </c>
      <c r="I46" s="12" t="s">
        <v>89</v>
      </c>
      <c r="J46" s="39">
        <v>4</v>
      </c>
      <c r="K46" s="24">
        <v>1000000</v>
      </c>
      <c r="L46" s="14">
        <v>0</v>
      </c>
      <c r="M46" s="14">
        <v>1000000</v>
      </c>
      <c r="N46" s="43">
        <f t="shared" si="6"/>
        <v>0</v>
      </c>
      <c r="O46" s="44"/>
      <c r="P46" s="44"/>
      <c r="Q46" s="44"/>
      <c r="R46" s="43">
        <f t="shared" si="7"/>
        <v>0</v>
      </c>
      <c r="S46" s="40">
        <v>0</v>
      </c>
      <c r="T46" s="45">
        <f t="shared" si="8"/>
        <v>0</v>
      </c>
      <c r="U46" s="41">
        <v>0</v>
      </c>
      <c r="V46" s="45">
        <f t="shared" si="9"/>
        <v>0</v>
      </c>
      <c r="W46" s="14">
        <v>0</v>
      </c>
      <c r="X46" s="45">
        <f t="shared" si="10"/>
        <v>0</v>
      </c>
      <c r="Y46" s="1"/>
      <c r="Z46" s="1"/>
      <c r="AA46" s="1"/>
    </row>
    <row r="47" spans="1:27" ht="63" customHeight="1">
      <c r="A47" s="11" t="s">
        <v>84</v>
      </c>
      <c r="B47" s="12" t="s">
        <v>85</v>
      </c>
      <c r="C47" s="12" t="s">
        <v>47</v>
      </c>
      <c r="D47" s="12" t="s">
        <v>99</v>
      </c>
      <c r="E47" s="12" t="s">
        <v>59</v>
      </c>
      <c r="F47" s="12" t="s">
        <v>98</v>
      </c>
      <c r="G47" s="12" t="s">
        <v>51</v>
      </c>
      <c r="H47" s="12" t="s">
        <v>88</v>
      </c>
      <c r="I47" s="12" t="s">
        <v>89</v>
      </c>
      <c r="J47" s="39">
        <v>4</v>
      </c>
      <c r="K47" s="24">
        <v>0</v>
      </c>
      <c r="L47" s="14">
        <v>12602895.32</v>
      </c>
      <c r="M47" s="14">
        <v>0</v>
      </c>
      <c r="N47" s="43">
        <f t="shared" si="6"/>
        <v>12602895.32</v>
      </c>
      <c r="O47" s="44"/>
      <c r="P47" s="44"/>
      <c r="Q47" s="44"/>
      <c r="R47" s="43">
        <f t="shared" si="7"/>
        <v>12602895.32</v>
      </c>
      <c r="S47" s="40">
        <v>8810572.1699999999</v>
      </c>
      <c r="T47" s="45">
        <f t="shared" si="8"/>
        <v>0.69909111726241013</v>
      </c>
      <c r="U47" s="41">
        <v>0</v>
      </c>
      <c r="V47" s="45">
        <f t="shared" si="9"/>
        <v>0</v>
      </c>
      <c r="W47" s="14">
        <v>0</v>
      </c>
      <c r="X47" s="45">
        <f t="shared" si="10"/>
        <v>0</v>
      </c>
      <c r="Y47" s="1"/>
      <c r="Z47" s="1"/>
      <c r="AA47" s="1"/>
    </row>
    <row r="48" spans="1:27" ht="63" customHeight="1">
      <c r="A48" s="11" t="s">
        <v>84</v>
      </c>
      <c r="B48" s="12" t="s">
        <v>85</v>
      </c>
      <c r="C48" s="57" t="s">
        <v>47</v>
      </c>
      <c r="D48" s="57" t="s">
        <v>99</v>
      </c>
      <c r="E48" s="12" t="s">
        <v>59</v>
      </c>
      <c r="F48" s="12" t="s">
        <v>98</v>
      </c>
      <c r="G48" s="57" t="s">
        <v>51</v>
      </c>
      <c r="H48" s="57" t="s">
        <v>121</v>
      </c>
      <c r="I48" s="12" t="s">
        <v>89</v>
      </c>
      <c r="J48" s="60">
        <v>4</v>
      </c>
      <c r="K48" s="24">
        <v>0</v>
      </c>
      <c r="L48" s="14">
        <v>3316988</v>
      </c>
      <c r="M48" s="14">
        <v>0</v>
      </c>
      <c r="N48" s="43">
        <f t="shared" si="6"/>
        <v>3316988</v>
      </c>
      <c r="O48" s="44"/>
      <c r="P48" s="44"/>
      <c r="Q48" s="44"/>
      <c r="R48" s="43">
        <f t="shared" si="7"/>
        <v>3316988</v>
      </c>
      <c r="S48" s="40">
        <v>0</v>
      </c>
      <c r="T48" s="45">
        <f t="shared" si="8"/>
        <v>0</v>
      </c>
      <c r="U48" s="41">
        <v>0</v>
      </c>
      <c r="V48" s="45">
        <f t="shared" si="9"/>
        <v>0</v>
      </c>
      <c r="W48" s="14">
        <v>0</v>
      </c>
      <c r="X48" s="45">
        <f t="shared" si="10"/>
        <v>0</v>
      </c>
      <c r="Y48" s="1"/>
      <c r="Z48" s="1"/>
      <c r="AA48" s="1"/>
    </row>
    <row r="49" spans="1:27" ht="63" customHeight="1">
      <c r="A49" s="11" t="s">
        <v>84</v>
      </c>
      <c r="B49" s="12" t="s">
        <v>85</v>
      </c>
      <c r="C49" s="12" t="s">
        <v>47</v>
      </c>
      <c r="D49" s="12" t="s">
        <v>100</v>
      </c>
      <c r="E49" s="12" t="s">
        <v>59</v>
      </c>
      <c r="F49" s="12" t="s">
        <v>101</v>
      </c>
      <c r="G49" s="12" t="s">
        <v>51</v>
      </c>
      <c r="H49" s="12" t="s">
        <v>88</v>
      </c>
      <c r="I49" s="12" t="s">
        <v>89</v>
      </c>
      <c r="J49" s="39">
        <v>4</v>
      </c>
      <c r="K49" s="24">
        <v>120600</v>
      </c>
      <c r="L49" s="14">
        <v>0</v>
      </c>
      <c r="M49" s="14">
        <v>0</v>
      </c>
      <c r="N49" s="43">
        <f t="shared" si="6"/>
        <v>120600</v>
      </c>
      <c r="O49" s="44"/>
      <c r="P49" s="44"/>
      <c r="Q49" s="44"/>
      <c r="R49" s="43">
        <f t="shared" si="7"/>
        <v>120600</v>
      </c>
      <c r="S49" s="40">
        <v>0</v>
      </c>
      <c r="T49" s="45">
        <f t="shared" si="8"/>
        <v>0</v>
      </c>
      <c r="U49" s="41">
        <v>0</v>
      </c>
      <c r="V49" s="45">
        <f t="shared" si="9"/>
        <v>0</v>
      </c>
      <c r="W49" s="14">
        <v>0</v>
      </c>
      <c r="X49" s="45">
        <f t="shared" si="10"/>
        <v>0</v>
      </c>
      <c r="Y49" s="1"/>
      <c r="Z49" s="1"/>
      <c r="AA49" s="1"/>
    </row>
    <row r="50" spans="1:27" ht="63" customHeight="1">
      <c r="A50" s="11" t="s">
        <v>84</v>
      </c>
      <c r="B50" s="12" t="s">
        <v>85</v>
      </c>
      <c r="C50" s="12" t="s">
        <v>47</v>
      </c>
      <c r="D50" s="12" t="s">
        <v>102</v>
      </c>
      <c r="E50" s="12" t="s">
        <v>59</v>
      </c>
      <c r="F50" s="12" t="s">
        <v>103</v>
      </c>
      <c r="G50" s="12" t="s">
        <v>51</v>
      </c>
      <c r="H50" s="12" t="s">
        <v>88</v>
      </c>
      <c r="I50" s="12" t="s">
        <v>89</v>
      </c>
      <c r="J50" s="13">
        <v>3</v>
      </c>
      <c r="K50" s="24">
        <v>500000</v>
      </c>
      <c r="L50" s="14">
        <v>600000</v>
      </c>
      <c r="M50" s="14">
        <v>0</v>
      </c>
      <c r="N50" s="43">
        <f t="shared" si="6"/>
        <v>1100000</v>
      </c>
      <c r="O50" s="44"/>
      <c r="P50" s="44"/>
      <c r="Q50" s="44"/>
      <c r="R50" s="43">
        <f t="shared" si="7"/>
        <v>1100000</v>
      </c>
      <c r="S50" s="40">
        <v>1100000</v>
      </c>
      <c r="T50" s="45">
        <f t="shared" si="8"/>
        <v>1</v>
      </c>
      <c r="U50" s="46">
        <v>615000</v>
      </c>
      <c r="V50" s="45">
        <f t="shared" si="9"/>
        <v>0.55909090909090908</v>
      </c>
      <c r="W50" s="14">
        <v>615000</v>
      </c>
      <c r="X50" s="45">
        <f t="shared" si="10"/>
        <v>0.55909090909090908</v>
      </c>
      <c r="Y50" s="1"/>
      <c r="Z50" s="1"/>
      <c r="AA50" s="1"/>
    </row>
    <row r="51" spans="1:27" ht="63" customHeight="1">
      <c r="A51" s="11" t="s">
        <v>84</v>
      </c>
      <c r="B51" s="12" t="s">
        <v>85</v>
      </c>
      <c r="C51" s="12" t="s">
        <v>47</v>
      </c>
      <c r="D51" s="12" t="s">
        <v>58</v>
      </c>
      <c r="E51" s="12" t="s">
        <v>59</v>
      </c>
      <c r="F51" s="12" t="s">
        <v>60</v>
      </c>
      <c r="G51" s="12" t="s">
        <v>51</v>
      </c>
      <c r="H51" s="12" t="s">
        <v>88</v>
      </c>
      <c r="I51" s="12" t="s">
        <v>89</v>
      </c>
      <c r="J51" s="13">
        <v>3</v>
      </c>
      <c r="K51" s="24">
        <v>50000</v>
      </c>
      <c r="L51" s="15">
        <v>0</v>
      </c>
      <c r="M51" s="15">
        <v>0</v>
      </c>
      <c r="N51" s="16">
        <f t="shared" si="6"/>
        <v>50000</v>
      </c>
      <c r="O51" s="17"/>
      <c r="P51" s="17"/>
      <c r="Q51" s="17"/>
      <c r="R51" s="16">
        <f t="shared" si="7"/>
        <v>50000</v>
      </c>
      <c r="S51" s="40">
        <v>0</v>
      </c>
      <c r="T51" s="18">
        <f t="shared" si="8"/>
        <v>0</v>
      </c>
      <c r="U51" s="19">
        <v>0</v>
      </c>
      <c r="V51" s="18">
        <f t="shared" si="9"/>
        <v>0</v>
      </c>
      <c r="W51" s="15">
        <v>0</v>
      </c>
      <c r="X51" s="18">
        <f t="shared" si="10"/>
        <v>0</v>
      </c>
      <c r="Y51" s="1"/>
      <c r="Z51" s="1"/>
      <c r="AA51" s="1"/>
    </row>
    <row r="52" spans="1:27" ht="63" customHeight="1">
      <c r="A52" s="11" t="s">
        <v>84</v>
      </c>
      <c r="B52" s="12" t="s">
        <v>85</v>
      </c>
      <c r="C52" s="12" t="s">
        <v>47</v>
      </c>
      <c r="D52" s="12" t="s">
        <v>58</v>
      </c>
      <c r="E52" s="12" t="s">
        <v>59</v>
      </c>
      <c r="F52" s="12" t="s">
        <v>60</v>
      </c>
      <c r="G52" s="12" t="s">
        <v>51</v>
      </c>
      <c r="H52" s="57" t="s">
        <v>121</v>
      </c>
      <c r="I52" s="12" t="s">
        <v>89</v>
      </c>
      <c r="J52" s="13">
        <v>3</v>
      </c>
      <c r="K52" s="24">
        <v>0</v>
      </c>
      <c r="L52" s="15">
        <v>505750</v>
      </c>
      <c r="M52" s="15">
        <v>0</v>
      </c>
      <c r="N52" s="16">
        <f t="shared" si="6"/>
        <v>505750</v>
      </c>
      <c r="O52" s="17"/>
      <c r="P52" s="17"/>
      <c r="Q52" s="17"/>
      <c r="R52" s="16">
        <f t="shared" si="7"/>
        <v>505750</v>
      </c>
      <c r="S52" s="40">
        <v>373664.12</v>
      </c>
      <c r="T52" s="18">
        <f t="shared" si="8"/>
        <v>0.73883167572911512</v>
      </c>
      <c r="U52" s="19">
        <v>161398.16</v>
      </c>
      <c r="V52" s="18">
        <f t="shared" si="9"/>
        <v>0.31912636678200695</v>
      </c>
      <c r="W52" s="15">
        <v>161398.16</v>
      </c>
      <c r="X52" s="18">
        <f t="shared" si="10"/>
        <v>0.31912636678200695</v>
      </c>
      <c r="Y52" s="1"/>
      <c r="Z52" s="1"/>
      <c r="AA52" s="1"/>
    </row>
    <row r="53" spans="1:27" ht="63" customHeight="1">
      <c r="A53" s="11" t="s">
        <v>84</v>
      </c>
      <c r="B53" s="12" t="s">
        <v>85</v>
      </c>
      <c r="C53" s="12" t="s">
        <v>47</v>
      </c>
      <c r="D53" s="12" t="s">
        <v>61</v>
      </c>
      <c r="E53" s="12" t="s">
        <v>59</v>
      </c>
      <c r="F53" s="12" t="s">
        <v>62</v>
      </c>
      <c r="G53" s="12" t="s">
        <v>51</v>
      </c>
      <c r="H53" s="12" t="s">
        <v>88</v>
      </c>
      <c r="I53" s="12" t="s">
        <v>89</v>
      </c>
      <c r="J53" s="13">
        <v>3</v>
      </c>
      <c r="K53" s="42">
        <f>54121000-K54</f>
        <v>53911000</v>
      </c>
      <c r="L53" s="15">
        <v>5173416.3600000003</v>
      </c>
      <c r="M53" s="15">
        <v>10154428.359999999</v>
      </c>
      <c r="N53" s="16">
        <f t="shared" si="6"/>
        <v>48929988</v>
      </c>
      <c r="O53" s="17"/>
      <c r="P53" s="17"/>
      <c r="Q53" s="17"/>
      <c r="R53" s="16">
        <f t="shared" si="7"/>
        <v>48929988</v>
      </c>
      <c r="S53" s="15">
        <f>40944504.38-S54</f>
        <v>40893573.5</v>
      </c>
      <c r="T53" s="18">
        <f t="shared" si="8"/>
        <v>0.83575686754715739</v>
      </c>
      <c r="U53" s="19">
        <f>30905646.5-U54</f>
        <v>30857459</v>
      </c>
      <c r="V53" s="18">
        <f t="shared" si="9"/>
        <v>0.63064513729290106</v>
      </c>
      <c r="W53" s="15">
        <f>30779129.28-W54</f>
        <v>30730941.780000001</v>
      </c>
      <c r="X53" s="18">
        <f t="shared" si="10"/>
        <v>0.62805945875155333</v>
      </c>
      <c r="Y53" s="1"/>
      <c r="Z53" s="1"/>
      <c r="AA53" s="1"/>
    </row>
    <row r="54" spans="1:27" ht="63" customHeight="1">
      <c r="A54" s="11" t="s">
        <v>84</v>
      </c>
      <c r="B54" s="12" t="s">
        <v>85</v>
      </c>
      <c r="C54" s="12" t="s">
        <v>47</v>
      </c>
      <c r="D54" s="12" t="s">
        <v>61</v>
      </c>
      <c r="E54" s="12" t="s">
        <v>59</v>
      </c>
      <c r="F54" s="12" t="s">
        <v>62</v>
      </c>
      <c r="G54" s="12" t="s">
        <v>51</v>
      </c>
      <c r="H54" s="12" t="s">
        <v>88</v>
      </c>
      <c r="I54" s="12" t="s">
        <v>89</v>
      </c>
      <c r="J54" s="39">
        <v>4</v>
      </c>
      <c r="K54" s="24">
        <f>210000</f>
        <v>210000</v>
      </c>
      <c r="L54" s="15">
        <v>0</v>
      </c>
      <c r="M54" s="15">
        <v>0</v>
      </c>
      <c r="N54" s="16">
        <f t="shared" si="6"/>
        <v>210000</v>
      </c>
      <c r="O54" s="17"/>
      <c r="P54" s="17"/>
      <c r="Q54" s="17"/>
      <c r="R54" s="16">
        <f t="shared" si="7"/>
        <v>210000</v>
      </c>
      <c r="S54" s="15">
        <f>11873.28+2743.38+28714.5+7599.72</f>
        <v>50930.880000000005</v>
      </c>
      <c r="T54" s="18">
        <f t="shared" si="8"/>
        <v>0.24252800000000002</v>
      </c>
      <c r="U54" s="41">
        <f>11873.28+28714.5+7599.72</f>
        <v>48187.5</v>
      </c>
      <c r="V54" s="18">
        <f t="shared" si="9"/>
        <v>0.2294642857142857</v>
      </c>
      <c r="W54" s="15">
        <f>11873.28+28714.5+7599.72</f>
        <v>48187.5</v>
      </c>
      <c r="X54" s="18">
        <f t="shared" si="10"/>
        <v>0.2294642857142857</v>
      </c>
      <c r="Y54" s="1"/>
      <c r="Z54" s="1"/>
      <c r="AA54" s="1"/>
    </row>
    <row r="55" spans="1:27" ht="63" customHeight="1">
      <c r="A55" s="11" t="s">
        <v>84</v>
      </c>
      <c r="B55" s="30" t="s">
        <v>85</v>
      </c>
      <c r="C55" s="30" t="s">
        <v>47</v>
      </c>
      <c r="D55" s="30" t="s">
        <v>104</v>
      </c>
      <c r="E55" s="12" t="s">
        <v>59</v>
      </c>
      <c r="F55" s="30" t="s">
        <v>105</v>
      </c>
      <c r="G55" s="30" t="s">
        <v>51</v>
      </c>
      <c r="H55" s="30" t="s">
        <v>88</v>
      </c>
      <c r="I55" s="12" t="s">
        <v>89</v>
      </c>
      <c r="J55" s="13">
        <v>3</v>
      </c>
      <c r="K55" s="24">
        <v>960000</v>
      </c>
      <c r="L55" s="15">
        <v>65740</v>
      </c>
      <c r="M55" s="15">
        <v>65740</v>
      </c>
      <c r="N55" s="16">
        <f t="shared" si="6"/>
        <v>960000</v>
      </c>
      <c r="O55" s="17"/>
      <c r="P55" s="17"/>
      <c r="Q55" s="17"/>
      <c r="R55" s="16">
        <f t="shared" si="7"/>
        <v>960000</v>
      </c>
      <c r="S55" s="14">
        <v>746656.52</v>
      </c>
      <c r="T55" s="18">
        <f t="shared" si="8"/>
        <v>0.77776720833333335</v>
      </c>
      <c r="U55" s="19">
        <v>746656.52</v>
      </c>
      <c r="V55" s="18">
        <f t="shared" si="9"/>
        <v>0.77776720833333335</v>
      </c>
      <c r="W55" s="15">
        <v>746656.52</v>
      </c>
      <c r="X55" s="18">
        <f t="shared" si="10"/>
        <v>0.77776720833333335</v>
      </c>
      <c r="Y55" s="1"/>
      <c r="Z55" s="1"/>
      <c r="AA55" s="1"/>
    </row>
    <row r="56" spans="1:27" ht="63" customHeight="1">
      <c r="A56" s="11" t="s">
        <v>84</v>
      </c>
      <c r="B56" s="30" t="s">
        <v>85</v>
      </c>
      <c r="C56" s="30" t="s">
        <v>47</v>
      </c>
      <c r="D56" s="30" t="s">
        <v>67</v>
      </c>
      <c r="E56" s="12" t="s">
        <v>59</v>
      </c>
      <c r="F56" s="30" t="s">
        <v>68</v>
      </c>
      <c r="G56" s="30" t="s">
        <v>51</v>
      </c>
      <c r="H56" s="30" t="s">
        <v>88</v>
      </c>
      <c r="I56" s="12" t="s">
        <v>89</v>
      </c>
      <c r="J56" s="13">
        <v>3</v>
      </c>
      <c r="K56" s="24">
        <v>50000</v>
      </c>
      <c r="L56" s="15">
        <v>0</v>
      </c>
      <c r="M56" s="15">
        <v>0</v>
      </c>
      <c r="N56" s="16">
        <f t="shared" si="6"/>
        <v>50000</v>
      </c>
      <c r="O56" s="17"/>
      <c r="P56" s="17"/>
      <c r="Q56" s="17"/>
      <c r="R56" s="16">
        <f t="shared" si="7"/>
        <v>50000</v>
      </c>
      <c r="S56" s="14">
        <v>0</v>
      </c>
      <c r="T56" s="18">
        <f t="shared" si="8"/>
        <v>0</v>
      </c>
      <c r="U56" s="19">
        <v>0</v>
      </c>
      <c r="V56" s="18">
        <f t="shared" si="9"/>
        <v>0</v>
      </c>
      <c r="W56" s="15">
        <v>0</v>
      </c>
      <c r="X56" s="18">
        <f t="shared" si="10"/>
        <v>0</v>
      </c>
      <c r="Y56" s="1"/>
      <c r="Z56" s="1"/>
      <c r="AA56" s="1"/>
    </row>
    <row r="57" spans="1:27" ht="63" customHeight="1">
      <c r="A57" s="11" t="s">
        <v>84</v>
      </c>
      <c r="B57" s="30" t="s">
        <v>85</v>
      </c>
      <c r="C57" s="30" t="s">
        <v>47</v>
      </c>
      <c r="D57" s="30" t="s">
        <v>67</v>
      </c>
      <c r="E57" s="12" t="s">
        <v>59</v>
      </c>
      <c r="F57" s="30" t="s">
        <v>68</v>
      </c>
      <c r="G57" s="30" t="s">
        <v>51</v>
      </c>
      <c r="H57" s="58" t="s">
        <v>121</v>
      </c>
      <c r="I57" s="12" t="s">
        <v>89</v>
      </c>
      <c r="J57" s="13">
        <v>3</v>
      </c>
      <c r="K57" s="24">
        <v>0</v>
      </c>
      <c r="L57" s="15">
        <v>180000</v>
      </c>
      <c r="M57" s="15">
        <v>0</v>
      </c>
      <c r="N57" s="16">
        <f t="shared" si="6"/>
        <v>180000</v>
      </c>
      <c r="O57" s="17"/>
      <c r="P57" s="17"/>
      <c r="Q57" s="17"/>
      <c r="R57" s="16">
        <f t="shared" si="7"/>
        <v>180000</v>
      </c>
      <c r="S57" s="14">
        <v>175711.72</v>
      </c>
      <c r="T57" s="18">
        <f t="shared" si="8"/>
        <v>0.97617622222222222</v>
      </c>
      <c r="U57" s="19">
        <v>97041.18</v>
      </c>
      <c r="V57" s="18">
        <f t="shared" si="9"/>
        <v>0.53911766666666661</v>
      </c>
      <c r="W57" s="15">
        <v>97041.18</v>
      </c>
      <c r="X57" s="18">
        <f t="shared" si="10"/>
        <v>0.53911766666666661</v>
      </c>
      <c r="Y57" s="1"/>
      <c r="Z57" s="1"/>
      <c r="AA57" s="1"/>
    </row>
    <row r="58" spans="1:27" ht="63" customHeight="1">
      <c r="A58" s="11" t="s">
        <v>84</v>
      </c>
      <c r="B58" s="12" t="s">
        <v>85</v>
      </c>
      <c r="C58" s="12" t="s">
        <v>106</v>
      </c>
      <c r="D58" s="12" t="s">
        <v>107</v>
      </c>
      <c r="E58" s="12" t="s">
        <v>49</v>
      </c>
      <c r="F58" s="12" t="s">
        <v>108</v>
      </c>
      <c r="G58" s="12" t="s">
        <v>51</v>
      </c>
      <c r="H58" s="12" t="s">
        <v>88</v>
      </c>
      <c r="I58" s="12" t="s">
        <v>89</v>
      </c>
      <c r="J58" s="13">
        <v>3</v>
      </c>
      <c r="K58" s="42">
        <f>27694385-0-K59</f>
        <v>18636785</v>
      </c>
      <c r="L58" s="14">
        <f>12097656.65-L59</f>
        <v>6135317</v>
      </c>
      <c r="M58" s="14">
        <f>234904.95-M59</f>
        <v>159000</v>
      </c>
      <c r="N58" s="43">
        <f t="shared" si="6"/>
        <v>24613102</v>
      </c>
      <c r="O58" s="44"/>
      <c r="P58" s="44"/>
      <c r="Q58" s="44"/>
      <c r="R58" s="43">
        <f t="shared" si="7"/>
        <v>24613102</v>
      </c>
      <c r="S58" s="25">
        <f>37703845.17-S59</f>
        <v>24027262.25</v>
      </c>
      <c r="T58" s="45">
        <f t="shared" si="8"/>
        <v>0.97619805297194961</v>
      </c>
      <c r="U58" s="19">
        <f>25853680.18-U59</f>
        <v>16028711.279999999</v>
      </c>
      <c r="V58" s="45">
        <f t="shared" si="9"/>
        <v>0.65122678482379015</v>
      </c>
      <c r="W58" s="14">
        <f>25853675.84-W59</f>
        <v>16028706.939999999</v>
      </c>
      <c r="X58" s="45">
        <f t="shared" si="10"/>
        <v>0.65122660849493896</v>
      </c>
      <c r="Y58" s="1"/>
      <c r="Z58" s="1"/>
      <c r="AA58" s="1"/>
    </row>
    <row r="59" spans="1:27" ht="63" customHeight="1">
      <c r="A59" s="11" t="s">
        <v>84</v>
      </c>
      <c r="B59" s="30" t="s">
        <v>85</v>
      </c>
      <c r="C59" s="30" t="s">
        <v>106</v>
      </c>
      <c r="D59" s="30" t="s">
        <v>107</v>
      </c>
      <c r="E59" s="12" t="s">
        <v>49</v>
      </c>
      <c r="F59" s="12" t="s">
        <v>108</v>
      </c>
      <c r="G59" s="30" t="s">
        <v>51</v>
      </c>
      <c r="H59" s="30" t="s">
        <v>88</v>
      </c>
      <c r="I59" s="12" t="s">
        <v>89</v>
      </c>
      <c r="J59" s="39">
        <v>4</v>
      </c>
      <c r="K59" s="42">
        <f>4997500+4060100</f>
        <v>9057600</v>
      </c>
      <c r="L59" s="15">
        <f>1848904.95+4113434.7</f>
        <v>5962339.6500000004</v>
      </c>
      <c r="M59" s="14">
        <f>75904.95</f>
        <v>75904.95</v>
      </c>
      <c r="N59" s="16">
        <f t="shared" si="6"/>
        <v>14944034.700000001</v>
      </c>
      <c r="O59" s="17"/>
      <c r="P59" s="17"/>
      <c r="Q59" s="17"/>
      <c r="R59" s="16">
        <f t="shared" si="7"/>
        <v>14944034.700000001</v>
      </c>
      <c r="S59" s="25">
        <f>3331666.64+2339833.36+2018433.92+7450+5979199</f>
        <v>13676582.92</v>
      </c>
      <c r="T59" s="18">
        <f t="shared" si="8"/>
        <v>0.91518677482728272</v>
      </c>
      <c r="U59" s="41">
        <f>748831.02+1335604.19+1753884.69+7450+5979199</f>
        <v>9824968.9000000004</v>
      </c>
      <c r="V59" s="18">
        <f t="shared" si="9"/>
        <v>0.65745088908285254</v>
      </c>
      <c r="W59" s="15">
        <f>748831.02+1335604.19+1753884.69+7450+5979199</f>
        <v>9824968.9000000004</v>
      </c>
      <c r="X59" s="18">
        <f t="shared" si="10"/>
        <v>0.65745088908285254</v>
      </c>
      <c r="Y59" s="1"/>
      <c r="Z59" s="1"/>
      <c r="AA59" s="1"/>
    </row>
    <row r="60" spans="1:27" ht="63" customHeight="1">
      <c r="A60" s="59" t="s">
        <v>84</v>
      </c>
      <c r="B60" s="30" t="s">
        <v>85</v>
      </c>
      <c r="C60" s="58" t="s">
        <v>106</v>
      </c>
      <c r="D60" s="58" t="s">
        <v>107</v>
      </c>
      <c r="E60" s="12" t="s">
        <v>49</v>
      </c>
      <c r="F60" s="12" t="s">
        <v>108</v>
      </c>
      <c r="G60" s="58" t="s">
        <v>51</v>
      </c>
      <c r="H60" s="58" t="s">
        <v>121</v>
      </c>
      <c r="I60" s="12" t="s">
        <v>89</v>
      </c>
      <c r="J60" s="13">
        <v>3</v>
      </c>
      <c r="K60" s="24">
        <v>0</v>
      </c>
      <c r="L60" s="15">
        <f>9002588-L61</f>
        <v>8700588</v>
      </c>
      <c r="M60" s="14">
        <v>0</v>
      </c>
      <c r="N60" s="16">
        <f t="shared" si="6"/>
        <v>8700588</v>
      </c>
      <c r="O60" s="17"/>
      <c r="P60" s="17"/>
      <c r="Q60" s="17"/>
      <c r="R60" s="16">
        <f t="shared" si="7"/>
        <v>8700588</v>
      </c>
      <c r="S60" s="14">
        <f>5509221.23-S61</f>
        <v>5207221.2300000004</v>
      </c>
      <c r="T60" s="18">
        <f t="shared" si="8"/>
        <v>0.59849072614402621</v>
      </c>
      <c r="U60" s="19">
        <v>0</v>
      </c>
      <c r="V60" s="18">
        <f t="shared" si="9"/>
        <v>0</v>
      </c>
      <c r="W60" s="15">
        <v>0</v>
      </c>
      <c r="X60" s="18">
        <f t="shared" si="10"/>
        <v>0</v>
      </c>
      <c r="Y60" s="1"/>
      <c r="Z60" s="1"/>
      <c r="AA60" s="1"/>
    </row>
    <row r="61" spans="1:27" ht="63" customHeight="1">
      <c r="A61" s="59" t="s">
        <v>84</v>
      </c>
      <c r="B61" s="30" t="s">
        <v>85</v>
      </c>
      <c r="C61" s="58" t="s">
        <v>106</v>
      </c>
      <c r="D61" s="58" t="s">
        <v>107</v>
      </c>
      <c r="E61" s="12" t="s">
        <v>49</v>
      </c>
      <c r="F61" s="12" t="s">
        <v>108</v>
      </c>
      <c r="G61" s="58" t="s">
        <v>51</v>
      </c>
      <c r="H61" s="58" t="s">
        <v>121</v>
      </c>
      <c r="I61" s="12" t="s">
        <v>89</v>
      </c>
      <c r="J61" s="60">
        <v>4</v>
      </c>
      <c r="K61" s="24">
        <v>0</v>
      </c>
      <c r="L61" s="15">
        <f>302000</f>
        <v>302000</v>
      </c>
      <c r="M61" s="14">
        <v>0</v>
      </c>
      <c r="N61" s="16">
        <f t="shared" si="6"/>
        <v>302000</v>
      </c>
      <c r="O61" s="17"/>
      <c r="P61" s="17"/>
      <c r="Q61" s="17"/>
      <c r="R61" s="16">
        <f t="shared" si="7"/>
        <v>302000</v>
      </c>
      <c r="S61" s="14">
        <v>302000</v>
      </c>
      <c r="T61" s="18">
        <f t="shared" si="8"/>
        <v>1</v>
      </c>
      <c r="U61" s="41">
        <v>0</v>
      </c>
      <c r="V61" s="18">
        <f t="shared" si="9"/>
        <v>0</v>
      </c>
      <c r="W61" s="15">
        <v>0</v>
      </c>
      <c r="X61" s="18">
        <f t="shared" si="10"/>
        <v>0</v>
      </c>
      <c r="Y61" s="1"/>
      <c r="Z61" s="1"/>
      <c r="AA61" s="1"/>
    </row>
    <row r="62" spans="1:27" ht="63" customHeight="1">
      <c r="A62" s="11" t="s">
        <v>84</v>
      </c>
      <c r="B62" s="30" t="s">
        <v>85</v>
      </c>
      <c r="C62" s="30" t="s">
        <v>106</v>
      </c>
      <c r="D62" s="30" t="s">
        <v>109</v>
      </c>
      <c r="E62" s="12" t="s">
        <v>59</v>
      </c>
      <c r="F62" s="30" t="s">
        <v>110</v>
      </c>
      <c r="G62" s="30" t="s">
        <v>51</v>
      </c>
      <c r="H62" s="30" t="s">
        <v>88</v>
      </c>
      <c r="I62" s="12" t="s">
        <v>89</v>
      </c>
      <c r="J62" s="13">
        <v>3</v>
      </c>
      <c r="K62" s="42">
        <f>11991900-K63</f>
        <v>11200000</v>
      </c>
      <c r="L62" s="15">
        <v>48707.24</v>
      </c>
      <c r="M62" s="15">
        <f>4867668.24-M63</f>
        <v>4193668.24</v>
      </c>
      <c r="N62" s="16">
        <f t="shared" si="6"/>
        <v>7055039</v>
      </c>
      <c r="O62" s="17"/>
      <c r="P62" s="17"/>
      <c r="Q62" s="17"/>
      <c r="R62" s="16">
        <f t="shared" si="7"/>
        <v>7055039</v>
      </c>
      <c r="S62" s="14">
        <v>6968090.3300000001</v>
      </c>
      <c r="T62" s="18">
        <f t="shared" si="8"/>
        <v>0.98767566416004227</v>
      </c>
      <c r="U62" s="19">
        <v>6043116.46</v>
      </c>
      <c r="V62" s="18">
        <f t="shared" si="9"/>
        <v>0.85656740664367692</v>
      </c>
      <c r="W62" s="15">
        <v>6022026</v>
      </c>
      <c r="X62" s="18">
        <f t="shared" si="10"/>
        <v>0.85357798872550528</v>
      </c>
      <c r="Y62" s="1"/>
      <c r="Z62" s="1"/>
      <c r="AA62" s="1"/>
    </row>
    <row r="63" spans="1:27" ht="63" customHeight="1">
      <c r="A63" s="11" t="s">
        <v>84</v>
      </c>
      <c r="B63" s="30" t="s">
        <v>85</v>
      </c>
      <c r="C63" s="30" t="s">
        <v>106</v>
      </c>
      <c r="D63" s="30" t="s">
        <v>109</v>
      </c>
      <c r="E63" s="12" t="s">
        <v>59</v>
      </c>
      <c r="F63" s="30" t="s">
        <v>110</v>
      </c>
      <c r="G63" s="30" t="s">
        <v>51</v>
      </c>
      <c r="H63" s="30" t="s">
        <v>88</v>
      </c>
      <c r="I63" s="12" t="s">
        <v>89</v>
      </c>
      <c r="J63" s="39">
        <v>4</v>
      </c>
      <c r="K63" s="42">
        <f>100000+691900</f>
        <v>791900</v>
      </c>
      <c r="L63" s="15">
        <v>0</v>
      </c>
      <c r="M63" s="15">
        <f>674000</f>
        <v>674000</v>
      </c>
      <c r="N63" s="16">
        <f t="shared" si="6"/>
        <v>117900</v>
      </c>
      <c r="O63" s="17"/>
      <c r="P63" s="17"/>
      <c r="Q63" s="17"/>
      <c r="R63" s="16">
        <f t="shared" si="7"/>
        <v>117900</v>
      </c>
      <c r="S63" s="14">
        <v>0</v>
      </c>
      <c r="T63" s="18">
        <f t="shared" si="8"/>
        <v>0</v>
      </c>
      <c r="U63" s="41">
        <v>0</v>
      </c>
      <c r="V63" s="18">
        <f t="shared" si="9"/>
        <v>0</v>
      </c>
      <c r="W63" s="15">
        <v>0</v>
      </c>
      <c r="X63" s="18">
        <f t="shared" si="10"/>
        <v>0</v>
      </c>
      <c r="Y63" s="1"/>
      <c r="Z63" s="1"/>
      <c r="AA63" s="1"/>
    </row>
    <row r="64" spans="1:27" ht="63" customHeight="1">
      <c r="A64" s="11" t="s">
        <v>84</v>
      </c>
      <c r="B64" s="30" t="s">
        <v>85</v>
      </c>
      <c r="C64" s="30" t="s">
        <v>69</v>
      </c>
      <c r="D64" s="30" t="s">
        <v>70</v>
      </c>
      <c r="E64" s="12" t="s">
        <v>59</v>
      </c>
      <c r="F64" s="30" t="s">
        <v>111</v>
      </c>
      <c r="G64" s="30" t="s">
        <v>51</v>
      </c>
      <c r="H64" s="30" t="s">
        <v>88</v>
      </c>
      <c r="I64" s="12" t="s">
        <v>89</v>
      </c>
      <c r="J64" s="13">
        <v>3</v>
      </c>
      <c r="K64" s="24">
        <v>1255215</v>
      </c>
      <c r="L64" s="15">
        <v>524824.25</v>
      </c>
      <c r="M64" s="15">
        <v>462124.25</v>
      </c>
      <c r="N64" s="16">
        <f t="shared" si="6"/>
        <v>1317915</v>
      </c>
      <c r="O64" s="17"/>
      <c r="P64" s="17"/>
      <c r="Q64" s="17"/>
      <c r="R64" s="16">
        <f t="shared" si="7"/>
        <v>1317915</v>
      </c>
      <c r="S64" s="14">
        <v>1239387.8999999999</v>
      </c>
      <c r="T64" s="18">
        <f t="shared" si="8"/>
        <v>0.94041565654841164</v>
      </c>
      <c r="U64" s="19">
        <v>867255.58</v>
      </c>
      <c r="V64" s="18">
        <f t="shared" si="9"/>
        <v>0.65805122485137502</v>
      </c>
      <c r="W64" s="15">
        <v>864666.33</v>
      </c>
      <c r="X64" s="18">
        <f t="shared" si="10"/>
        <v>0.65608656855715275</v>
      </c>
      <c r="Y64" s="1"/>
      <c r="Z64" s="1"/>
      <c r="AA64" s="1"/>
    </row>
    <row r="65" spans="1:27" ht="63" customHeight="1">
      <c r="A65" s="11" t="s">
        <v>84</v>
      </c>
      <c r="B65" s="30" t="s">
        <v>85</v>
      </c>
      <c r="C65" s="30" t="s">
        <v>69</v>
      </c>
      <c r="D65" s="30" t="s">
        <v>70</v>
      </c>
      <c r="E65" s="12" t="s">
        <v>59</v>
      </c>
      <c r="F65" s="30" t="s">
        <v>111</v>
      </c>
      <c r="G65" s="30" t="s">
        <v>51</v>
      </c>
      <c r="H65" s="58" t="s">
        <v>121</v>
      </c>
      <c r="I65" s="12" t="s">
        <v>89</v>
      </c>
      <c r="J65" s="13">
        <v>3</v>
      </c>
      <c r="K65" s="24">
        <v>0</v>
      </c>
      <c r="L65" s="15">
        <v>251196</v>
      </c>
      <c r="M65" s="15">
        <v>900</v>
      </c>
      <c r="N65" s="16">
        <f t="shared" si="6"/>
        <v>250296</v>
      </c>
      <c r="O65" s="17"/>
      <c r="P65" s="17"/>
      <c r="Q65" s="17"/>
      <c r="R65" s="16">
        <f t="shared" si="7"/>
        <v>250296</v>
      </c>
      <c r="S65" s="14">
        <v>245001</v>
      </c>
      <c r="T65" s="18">
        <f t="shared" si="8"/>
        <v>0.97884504746380285</v>
      </c>
      <c r="U65" s="19">
        <v>32277.45</v>
      </c>
      <c r="V65" s="18">
        <f t="shared" si="9"/>
        <v>0.12895711477610508</v>
      </c>
      <c r="W65" s="15">
        <v>32277.45</v>
      </c>
      <c r="X65" s="18">
        <f t="shared" si="10"/>
        <v>0.12895711477610508</v>
      </c>
      <c r="Y65" s="1"/>
      <c r="Z65" s="1"/>
      <c r="AA65" s="1"/>
    </row>
    <row r="66" spans="1:27" ht="63" customHeight="1">
      <c r="A66" s="11" t="s">
        <v>84</v>
      </c>
      <c r="B66" s="30" t="s">
        <v>85</v>
      </c>
      <c r="C66" s="30" t="s">
        <v>69</v>
      </c>
      <c r="D66" s="30" t="s">
        <v>112</v>
      </c>
      <c r="E66" s="12" t="s">
        <v>59</v>
      </c>
      <c r="F66" s="30" t="s">
        <v>73</v>
      </c>
      <c r="G66" s="30" t="s">
        <v>51</v>
      </c>
      <c r="H66" s="30" t="s">
        <v>113</v>
      </c>
      <c r="I66" s="30" t="s">
        <v>114</v>
      </c>
      <c r="J66" s="47">
        <v>3</v>
      </c>
      <c r="K66" s="24">
        <v>1175000</v>
      </c>
      <c r="L66" s="15">
        <v>298300</v>
      </c>
      <c r="M66" s="15">
        <v>298300</v>
      </c>
      <c r="N66" s="16">
        <f t="shared" si="6"/>
        <v>1175000</v>
      </c>
      <c r="O66" s="17"/>
      <c r="P66" s="17"/>
      <c r="Q66" s="17"/>
      <c r="R66" s="16">
        <f t="shared" si="7"/>
        <v>1175000</v>
      </c>
      <c r="S66" s="14">
        <v>1012967.67</v>
      </c>
      <c r="T66" s="18">
        <f t="shared" si="8"/>
        <v>0.86210014468085105</v>
      </c>
      <c r="U66" s="19">
        <v>816205</v>
      </c>
      <c r="V66" s="18">
        <f t="shared" si="9"/>
        <v>0.69464255319148938</v>
      </c>
      <c r="W66" s="15">
        <v>803850.74</v>
      </c>
      <c r="X66" s="18">
        <f t="shared" si="10"/>
        <v>0.68412828936170211</v>
      </c>
      <c r="Y66" s="1"/>
      <c r="Z66" s="1"/>
      <c r="AA66" s="1"/>
    </row>
    <row r="67" spans="1:27" ht="63" customHeight="1">
      <c r="A67" s="59" t="s">
        <v>84</v>
      </c>
      <c r="B67" s="30" t="s">
        <v>85</v>
      </c>
      <c r="C67" s="58" t="s">
        <v>69</v>
      </c>
      <c r="D67" s="58" t="s">
        <v>112</v>
      </c>
      <c r="E67" s="12" t="s">
        <v>59</v>
      </c>
      <c r="F67" s="30" t="s">
        <v>73</v>
      </c>
      <c r="G67" s="58" t="s">
        <v>51</v>
      </c>
      <c r="H67" s="58" t="s">
        <v>121</v>
      </c>
      <c r="I67" s="12" t="s">
        <v>89</v>
      </c>
      <c r="J67" s="66">
        <v>3</v>
      </c>
      <c r="K67" s="24">
        <v>0</v>
      </c>
      <c r="L67" s="15">
        <v>2800000</v>
      </c>
      <c r="M67" s="15">
        <v>0</v>
      </c>
      <c r="N67" s="16">
        <f t="shared" si="6"/>
        <v>2800000</v>
      </c>
      <c r="O67" s="17"/>
      <c r="P67" s="17"/>
      <c r="Q67" s="17"/>
      <c r="R67" s="16">
        <f t="shared" si="7"/>
        <v>2800000</v>
      </c>
      <c r="S67" s="14">
        <v>0</v>
      </c>
      <c r="T67" s="18">
        <f t="shared" si="8"/>
        <v>0</v>
      </c>
      <c r="U67" s="19">
        <v>0</v>
      </c>
      <c r="V67" s="18">
        <f t="shared" si="9"/>
        <v>0</v>
      </c>
      <c r="W67" s="15">
        <v>0</v>
      </c>
      <c r="X67" s="18">
        <f t="shared" si="10"/>
        <v>0</v>
      </c>
      <c r="Y67" s="1"/>
      <c r="Z67" s="1"/>
      <c r="AA67" s="1"/>
    </row>
    <row r="68" spans="1:27" ht="63" customHeight="1">
      <c r="A68" s="11" t="s">
        <v>84</v>
      </c>
      <c r="B68" s="30" t="s">
        <v>85</v>
      </c>
      <c r="C68" s="30" t="s">
        <v>69</v>
      </c>
      <c r="D68" s="30" t="s">
        <v>112</v>
      </c>
      <c r="E68" s="12" t="s">
        <v>59</v>
      </c>
      <c r="F68" s="30" t="s">
        <v>73</v>
      </c>
      <c r="G68" s="30" t="s">
        <v>51</v>
      </c>
      <c r="H68" s="58" t="s">
        <v>122</v>
      </c>
      <c r="I68" s="30" t="s">
        <v>114</v>
      </c>
      <c r="J68" s="39">
        <v>4</v>
      </c>
      <c r="K68" s="24">
        <v>0</v>
      </c>
      <c r="L68" s="15">
        <v>6000</v>
      </c>
      <c r="M68" s="15">
        <v>0</v>
      </c>
      <c r="N68" s="16">
        <f t="shared" si="6"/>
        <v>6000</v>
      </c>
      <c r="O68" s="17"/>
      <c r="P68" s="17"/>
      <c r="Q68" s="17"/>
      <c r="R68" s="16">
        <f t="shared" si="7"/>
        <v>6000</v>
      </c>
      <c r="S68" s="14">
        <v>0</v>
      </c>
      <c r="T68" s="18">
        <f t="shared" si="8"/>
        <v>0</v>
      </c>
      <c r="U68" s="41">
        <v>0</v>
      </c>
      <c r="V68" s="18">
        <f t="shared" si="9"/>
        <v>0</v>
      </c>
      <c r="W68" s="15">
        <v>0</v>
      </c>
      <c r="X68" s="18">
        <f t="shared" si="10"/>
        <v>0</v>
      </c>
      <c r="Y68" s="1"/>
      <c r="Z68" s="1"/>
      <c r="AA68" s="1"/>
    </row>
    <row r="69" spans="1:27" ht="22.5" customHeight="1">
      <c r="A69" s="84" t="s">
        <v>115</v>
      </c>
      <c r="B69" s="68"/>
      <c r="C69" s="68"/>
      <c r="D69" s="68"/>
      <c r="E69" s="68"/>
      <c r="F69" s="68"/>
      <c r="G69" s="68"/>
      <c r="H69" s="68"/>
      <c r="I69" s="68"/>
      <c r="J69" s="69"/>
      <c r="K69" s="31">
        <f t="shared" ref="K69:S69" si="11">SUM(K31:K68)</f>
        <v>268375000</v>
      </c>
      <c r="L69" s="31">
        <f t="shared" si="11"/>
        <v>127973144.52000001</v>
      </c>
      <c r="M69" s="31">
        <f t="shared" si="11"/>
        <v>67759379.5</v>
      </c>
      <c r="N69" s="31">
        <f t="shared" si="11"/>
        <v>328588765.01999998</v>
      </c>
      <c r="O69" s="31">
        <f t="shared" si="11"/>
        <v>0</v>
      </c>
      <c r="P69" s="31">
        <f t="shared" si="11"/>
        <v>0</v>
      </c>
      <c r="Q69" s="31">
        <f t="shared" si="11"/>
        <v>0</v>
      </c>
      <c r="R69" s="31">
        <f t="shared" si="11"/>
        <v>328588765.01999998</v>
      </c>
      <c r="S69" s="31">
        <f t="shared" si="11"/>
        <v>260854785.95999998</v>
      </c>
      <c r="T69" s="32">
        <f t="shared" si="8"/>
        <v>0.79386398358483956</v>
      </c>
      <c r="U69" s="31">
        <f>SUM(U31:U68)</f>
        <v>162719142.24000001</v>
      </c>
      <c r="V69" s="32">
        <f t="shared" si="9"/>
        <v>0.49520604342663965</v>
      </c>
      <c r="W69" s="31">
        <f>SUM(W31:W68)</f>
        <v>162020509.16000003</v>
      </c>
      <c r="X69" s="32">
        <f t="shared" si="10"/>
        <v>0.49307988101826439</v>
      </c>
      <c r="Y69" s="1"/>
      <c r="Z69" s="1"/>
      <c r="AA69" s="1"/>
    </row>
    <row r="70" spans="1:27" ht="22.5" customHeight="1">
      <c r="A70" s="85" t="s">
        <v>116</v>
      </c>
      <c r="B70" s="68"/>
      <c r="C70" s="68"/>
      <c r="D70" s="68"/>
      <c r="E70" s="68"/>
      <c r="F70" s="68"/>
      <c r="G70" s="68"/>
      <c r="H70" s="68"/>
      <c r="I70" s="68"/>
      <c r="J70" s="69"/>
      <c r="K70" s="48">
        <f t="shared" ref="K70:S70" si="12">SUM(K28+K69)</f>
        <v>1368008000</v>
      </c>
      <c r="L70" s="48">
        <f t="shared" si="12"/>
        <v>217371029.58000001</v>
      </c>
      <c r="M70" s="48">
        <f t="shared" si="12"/>
        <v>157057264.56</v>
      </c>
      <c r="N70" s="61">
        <f t="shared" si="12"/>
        <v>1428321765.0200002</v>
      </c>
      <c r="O70" s="61">
        <f t="shared" si="12"/>
        <v>0</v>
      </c>
      <c r="P70" s="61">
        <f t="shared" si="12"/>
        <v>0</v>
      </c>
      <c r="Q70" s="61">
        <f t="shared" si="12"/>
        <v>-71480706.439999998</v>
      </c>
      <c r="R70" s="61">
        <f t="shared" si="12"/>
        <v>1356841058.5799999</v>
      </c>
      <c r="S70" s="61">
        <f t="shared" si="12"/>
        <v>1174198863.6800001</v>
      </c>
      <c r="T70" s="62">
        <f t="shared" si="8"/>
        <v>0.86539160666972759</v>
      </c>
      <c r="U70" s="61">
        <f>SUM(U28+U69)</f>
        <v>1029184384.64</v>
      </c>
      <c r="V70" s="62">
        <f t="shared" si="9"/>
        <v>0.75851506566074245</v>
      </c>
      <c r="W70" s="61">
        <f>SUM(W28+W69)</f>
        <v>899741624.44000006</v>
      </c>
      <c r="X70" s="62">
        <f t="shared" si="10"/>
        <v>0.66311497485315141</v>
      </c>
      <c r="Y70" s="21"/>
      <c r="Z70" s="1"/>
      <c r="AA70" s="1"/>
    </row>
    <row r="71" spans="1:27" ht="14.25">
      <c r="A71" s="49" t="s">
        <v>117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6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"/>
      <c r="Z71" s="1"/>
      <c r="AA71" s="1"/>
    </row>
    <row r="72" spans="1:27" ht="14.25">
      <c r="A72" s="49" t="s">
        <v>118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6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"/>
      <c r="Z72" s="51"/>
      <c r="AA72" s="1"/>
    </row>
    <row r="73" spans="1:27" ht="14.25">
      <c r="A73" s="86" t="s">
        <v>119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"/>
      <c r="Z73" s="51"/>
      <c r="AA73" s="1"/>
    </row>
    <row r="74" spans="1:27" ht="14.25">
      <c r="A74" s="1"/>
      <c r="B74" s="1"/>
      <c r="C74" s="1"/>
      <c r="D74" s="1"/>
      <c r="E74" s="1"/>
      <c r="F74" s="87"/>
      <c r="G74" s="74"/>
      <c r="H74" s="74"/>
      <c r="I74" s="74"/>
      <c r="J74" s="1"/>
      <c r="K74" s="1"/>
      <c r="L74" s="1"/>
      <c r="M74" s="1"/>
      <c r="N74" s="1"/>
      <c r="O74" s="1"/>
      <c r="P74" s="1"/>
      <c r="Q74" s="1"/>
      <c r="R74" s="1"/>
      <c r="S74" s="1"/>
      <c r="T74" s="6"/>
      <c r="U74" s="52"/>
      <c r="V74" s="1"/>
      <c r="W74" s="1"/>
      <c r="X74" s="52"/>
      <c r="Y74" s="1"/>
      <c r="Z74" s="1"/>
      <c r="AA74" s="1"/>
    </row>
    <row r="75" spans="1:27" ht="14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65"/>
      <c r="U75" s="64"/>
      <c r="V75" s="1"/>
      <c r="W75" s="51"/>
      <c r="X75" s="52"/>
      <c r="Y75" s="52"/>
      <c r="Z75" s="1"/>
      <c r="AA75" s="1"/>
    </row>
    <row r="76" spans="1:27" ht="14.25">
      <c r="A76" s="1"/>
      <c r="B76" s="1"/>
      <c r="C76" s="53"/>
      <c r="D76" s="54"/>
      <c r="E76" s="1"/>
      <c r="F76" s="53"/>
      <c r="G76" s="54"/>
      <c r="H76" s="1"/>
      <c r="I76" s="1"/>
      <c r="J76" s="1"/>
      <c r="K76" s="1"/>
      <c r="L76" s="53"/>
      <c r="M76" s="54"/>
      <c r="N76" s="56"/>
      <c r="O76" s="1"/>
      <c r="P76" s="1"/>
      <c r="Q76" s="1"/>
      <c r="R76" s="52"/>
      <c r="S76" s="1"/>
      <c r="T76" s="1"/>
      <c r="U76" s="1"/>
      <c r="V76" s="1"/>
      <c r="W76" s="1"/>
      <c r="X76" s="52"/>
      <c r="Y76" s="1"/>
      <c r="Z76" s="1"/>
      <c r="AA76" s="1"/>
    </row>
    <row r="77" spans="1:27" ht="14.25">
      <c r="A77" s="1"/>
      <c r="B77" s="1"/>
      <c r="C77" s="53"/>
      <c r="D77" s="54"/>
      <c r="E77" s="1"/>
      <c r="F77" s="53"/>
      <c r="G77" s="54"/>
      <c r="H77" s="1"/>
      <c r="I77" s="1"/>
      <c r="J77" s="1"/>
      <c r="K77" s="1"/>
      <c r="L77" s="53"/>
      <c r="M77" s="54"/>
      <c r="N77" s="1"/>
      <c r="O77" s="1"/>
      <c r="P77" s="1"/>
      <c r="Q77" s="1"/>
      <c r="R77" s="52"/>
      <c r="S77" s="1"/>
      <c r="T77" s="1"/>
      <c r="U77" s="1"/>
      <c r="V77" s="1"/>
      <c r="W77" s="1"/>
      <c r="X77" s="52"/>
      <c r="Y77" s="52"/>
      <c r="Z77" s="1"/>
      <c r="AA77" s="1"/>
    </row>
    <row r="78" spans="1:27" ht="14.25">
      <c r="A78" s="1"/>
      <c r="B78" s="1"/>
      <c r="C78" s="53"/>
      <c r="D78" s="55"/>
      <c r="E78" s="1"/>
      <c r="F78" s="53"/>
      <c r="G78" s="54"/>
      <c r="H78" s="1"/>
      <c r="I78" s="1"/>
      <c r="J78" s="1"/>
      <c r="K78" s="1"/>
      <c r="L78" s="1"/>
      <c r="M78" s="1"/>
      <c r="N78" s="1"/>
      <c r="O78" s="1"/>
      <c r="P78" s="1"/>
      <c r="Q78" s="1"/>
      <c r="R78" s="52"/>
      <c r="S78" s="1"/>
      <c r="T78" s="1"/>
      <c r="U78" s="56"/>
      <c r="V78" s="1"/>
      <c r="W78" s="52"/>
      <c r="X78" s="52"/>
      <c r="Y78" s="1"/>
      <c r="Z78" s="1"/>
      <c r="AA78" s="1"/>
    </row>
    <row r="79" spans="1:27" ht="14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56"/>
      <c r="N79" s="1"/>
      <c r="O79" s="1"/>
      <c r="P79" s="1"/>
      <c r="Q79" s="1"/>
      <c r="R79" s="1"/>
      <c r="S79" s="1"/>
      <c r="T79" s="1"/>
      <c r="U79" s="56"/>
      <c r="V79" s="52"/>
      <c r="W79" s="52"/>
      <c r="X79" s="52"/>
      <c r="Y79" s="1"/>
      <c r="Z79" s="1"/>
      <c r="AA79" s="1"/>
    </row>
    <row r="80" spans="1:27" ht="14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56"/>
      <c r="V80" s="52"/>
      <c r="W80" s="52"/>
      <c r="X80" s="52"/>
      <c r="Y80" s="1"/>
      <c r="Z80" s="1"/>
      <c r="AA80" s="1"/>
    </row>
    <row r="81" spans="1:27" ht="14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3"/>
      <c r="M82" s="54"/>
      <c r="N82" s="5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3"/>
      <c r="M83" s="5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>
      <c r="A84" s="1"/>
      <c r="B84" s="1"/>
      <c r="C84" s="1"/>
      <c r="D84" s="5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5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3"/>
      <c r="M88" s="54"/>
      <c r="N88" s="5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3"/>
      <c r="M89" s="5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5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5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5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  <c r="Z95" s="1"/>
      <c r="AA95" s="1"/>
    </row>
    <row r="96" spans="1:27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  <c r="Z96" s="1"/>
      <c r="AA96" s="1"/>
    </row>
    <row r="97" spans="1:27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29">
    <mergeCell ref="F74:I74"/>
    <mergeCell ref="A11:J11"/>
    <mergeCell ref="A12:B12"/>
    <mergeCell ref="C12:C13"/>
    <mergeCell ref="D12:D13"/>
    <mergeCell ref="E12:F12"/>
    <mergeCell ref="G12:G13"/>
    <mergeCell ref="H12:I12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69:J69"/>
    <mergeCell ref="A70:J70"/>
    <mergeCell ref="A73:M73"/>
    <mergeCell ref="A6:F6"/>
    <mergeCell ref="A7:F7"/>
    <mergeCell ref="P11:Q11"/>
    <mergeCell ref="R11:R12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scale="1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cp:lastPrinted>2025-11-14T14:36:44Z</cp:lastPrinted>
  <dcterms:modified xsi:type="dcterms:W3CDTF">2025-11-14T14:36:50Z</dcterms:modified>
</cp:coreProperties>
</file>