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xr:revisionPtr revIDLastSave="0" documentId="13_ncr:1_{28F026BA-6B66-40C8-AB05-B8880D39E8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TEMBRO" sheetId="9" r:id="rId1"/>
  </sheets>
  <calcPr calcId="191029"/>
</workbook>
</file>

<file path=xl/calcChain.xml><?xml version="1.0" encoding="utf-8"?>
<calcChain xmlns="http://schemas.openxmlformats.org/spreadsheetml/2006/main">
  <c r="Q63" i="9" l="1"/>
  <c r="P63" i="9"/>
  <c r="O63" i="9"/>
  <c r="N62" i="9"/>
  <c r="R62" i="9" s="1"/>
  <c r="R61" i="9"/>
  <c r="X61" i="9" s="1"/>
  <c r="N61" i="9"/>
  <c r="R60" i="9"/>
  <c r="X60" i="9" s="1"/>
  <c r="N60" i="9"/>
  <c r="X59" i="9"/>
  <c r="V59" i="9"/>
  <c r="R59" i="9"/>
  <c r="T59" i="9" s="1"/>
  <c r="N59" i="9"/>
  <c r="K58" i="9"/>
  <c r="N58" i="9" s="1"/>
  <c r="R58" i="9" s="1"/>
  <c r="M57" i="9"/>
  <c r="K57" i="9"/>
  <c r="N57" i="9" s="1"/>
  <c r="R57" i="9" s="1"/>
  <c r="W56" i="9"/>
  <c r="U56" i="9"/>
  <c r="S56" i="9"/>
  <c r="N56" i="9"/>
  <c r="R56" i="9" s="1"/>
  <c r="M56" i="9"/>
  <c r="L56" i="9"/>
  <c r="L55" i="9" s="1"/>
  <c r="N55" i="9" s="1"/>
  <c r="R55" i="9" s="1"/>
  <c r="K56" i="9"/>
  <c r="W55" i="9"/>
  <c r="U55" i="9"/>
  <c r="S55" i="9"/>
  <c r="M55" i="9"/>
  <c r="K55" i="9"/>
  <c r="N54" i="9"/>
  <c r="R54" i="9" s="1"/>
  <c r="N53" i="9"/>
  <c r="R53" i="9" s="1"/>
  <c r="R52" i="9"/>
  <c r="X52" i="9" s="1"/>
  <c r="N52" i="9"/>
  <c r="K52" i="9"/>
  <c r="W51" i="9"/>
  <c r="U51" i="9"/>
  <c r="S51" i="9"/>
  <c r="S50" i="9" s="1"/>
  <c r="S63" i="9" s="1"/>
  <c r="N51" i="9"/>
  <c r="R51" i="9" s="1"/>
  <c r="K51" i="9"/>
  <c r="W50" i="9"/>
  <c r="U50" i="9"/>
  <c r="K50" i="9"/>
  <c r="N50" i="9" s="1"/>
  <c r="R50" i="9" s="1"/>
  <c r="R49" i="9"/>
  <c r="X49" i="9" s="1"/>
  <c r="N49" i="9"/>
  <c r="R48" i="9"/>
  <c r="X48" i="9" s="1"/>
  <c r="N48" i="9"/>
  <c r="X47" i="9"/>
  <c r="V47" i="9"/>
  <c r="R47" i="9"/>
  <c r="T47" i="9" s="1"/>
  <c r="N47" i="9"/>
  <c r="X46" i="9"/>
  <c r="R46" i="9"/>
  <c r="V46" i="9" s="1"/>
  <c r="N46" i="9"/>
  <c r="R45" i="9"/>
  <c r="X45" i="9" s="1"/>
  <c r="N45" i="9"/>
  <c r="T44" i="9"/>
  <c r="R44" i="9"/>
  <c r="X44" i="9" s="1"/>
  <c r="N44" i="9"/>
  <c r="N43" i="9"/>
  <c r="R43" i="9" s="1"/>
  <c r="N42" i="9"/>
  <c r="R42" i="9" s="1"/>
  <c r="N41" i="9"/>
  <c r="R41" i="9" s="1"/>
  <c r="W40" i="9"/>
  <c r="W39" i="9" s="1"/>
  <c r="W63" i="9" s="1"/>
  <c r="U40" i="9"/>
  <c r="S40" i="9"/>
  <c r="M40" i="9"/>
  <c r="L40" i="9"/>
  <c r="N40" i="9" s="1"/>
  <c r="R40" i="9" s="1"/>
  <c r="K40" i="9"/>
  <c r="U39" i="9"/>
  <c r="U63" i="9" s="1"/>
  <c r="S39" i="9"/>
  <c r="M39" i="9"/>
  <c r="M63" i="9" s="1"/>
  <c r="K39" i="9"/>
  <c r="K63" i="9" s="1"/>
  <c r="N38" i="9"/>
  <c r="R38" i="9" s="1"/>
  <c r="R37" i="9"/>
  <c r="X37" i="9" s="1"/>
  <c r="N37" i="9"/>
  <c r="V36" i="9"/>
  <c r="R36" i="9"/>
  <c r="X36" i="9" s="1"/>
  <c r="N36" i="9"/>
  <c r="X35" i="9"/>
  <c r="V35" i="9"/>
  <c r="R35" i="9"/>
  <c r="T35" i="9" s="1"/>
  <c r="N35" i="9"/>
  <c r="X34" i="9"/>
  <c r="R34" i="9"/>
  <c r="V34" i="9" s="1"/>
  <c r="N34" i="9"/>
  <c r="R33" i="9"/>
  <c r="N33" i="9"/>
  <c r="T32" i="9"/>
  <c r="R32" i="9"/>
  <c r="X32" i="9" s="1"/>
  <c r="N32" i="9"/>
  <c r="N31" i="9"/>
  <c r="R31" i="9" s="1"/>
  <c r="N30" i="9"/>
  <c r="W27" i="9"/>
  <c r="P27" i="9"/>
  <c r="P64" i="9" s="1"/>
  <c r="O27" i="9"/>
  <c r="O64" i="9" s="1"/>
  <c r="M27" i="9"/>
  <c r="M64" i="9" s="1"/>
  <c r="N26" i="9"/>
  <c r="R26" i="9" s="1"/>
  <c r="W25" i="9"/>
  <c r="U25" i="9"/>
  <c r="S25" i="9"/>
  <c r="S24" i="9" s="1"/>
  <c r="S27" i="9" s="1"/>
  <c r="N25" i="9"/>
  <c r="R25" i="9" s="1"/>
  <c r="V25" i="9" s="1"/>
  <c r="K25" i="9"/>
  <c r="W24" i="9"/>
  <c r="U24" i="9"/>
  <c r="U27" i="9" s="1"/>
  <c r="U64" i="9" s="1"/>
  <c r="Q24" i="9"/>
  <c r="Q27" i="9" s="1"/>
  <c r="Q64" i="9" s="1"/>
  <c r="M24" i="9"/>
  <c r="L24" i="9"/>
  <c r="L27" i="9" s="1"/>
  <c r="K24" i="9"/>
  <c r="N24" i="9" s="1"/>
  <c r="R23" i="9"/>
  <c r="N23" i="9"/>
  <c r="V22" i="9"/>
  <c r="T22" i="9"/>
  <c r="R22" i="9"/>
  <c r="X22" i="9" s="1"/>
  <c r="N22" i="9"/>
  <c r="N21" i="9"/>
  <c r="R21" i="9" s="1"/>
  <c r="X20" i="9"/>
  <c r="N20" i="9"/>
  <c r="R20" i="9" s="1"/>
  <c r="T19" i="9"/>
  <c r="R19" i="9"/>
  <c r="X19" i="9" s="1"/>
  <c r="N19" i="9"/>
  <c r="N18" i="9"/>
  <c r="R18" i="9" s="1"/>
  <c r="N17" i="9"/>
  <c r="R17" i="9" s="1"/>
  <c r="N16" i="9"/>
  <c r="R16" i="9" s="1"/>
  <c r="R15" i="9"/>
  <c r="N15" i="9"/>
  <c r="X14" i="9"/>
  <c r="V14" i="9"/>
  <c r="T14" i="9"/>
  <c r="R14" i="9"/>
  <c r="N14" i="9"/>
  <c r="X33" i="9" l="1"/>
  <c r="V33" i="9"/>
  <c r="T33" i="9"/>
  <c r="X51" i="9"/>
  <c r="V51" i="9"/>
  <c r="T51" i="9"/>
  <c r="V20" i="9"/>
  <c r="T20" i="9"/>
  <c r="X38" i="9"/>
  <c r="V38" i="9"/>
  <c r="T38" i="9"/>
  <c r="X41" i="9"/>
  <c r="V41" i="9"/>
  <c r="T41" i="9"/>
  <c r="X42" i="9"/>
  <c r="V42" i="9"/>
  <c r="T42" i="9"/>
  <c r="X21" i="9"/>
  <c r="V21" i="9"/>
  <c r="T21" i="9"/>
  <c r="X43" i="9"/>
  <c r="V43" i="9"/>
  <c r="T43" i="9"/>
  <c r="X55" i="9"/>
  <c r="V55" i="9"/>
  <c r="T55" i="9"/>
  <c r="R27" i="9"/>
  <c r="X15" i="9"/>
  <c r="V15" i="9"/>
  <c r="T15" i="9"/>
  <c r="W64" i="9"/>
  <c r="X16" i="9"/>
  <c r="V16" i="9"/>
  <c r="T16" i="9"/>
  <c r="R30" i="9"/>
  <c r="X56" i="9"/>
  <c r="V56" i="9"/>
  <c r="T56" i="9"/>
  <c r="T17" i="9"/>
  <c r="X17" i="9"/>
  <c r="S64" i="9"/>
  <c r="V17" i="9"/>
  <c r="T25" i="9"/>
  <c r="X31" i="9"/>
  <c r="V31" i="9"/>
  <c r="T31" i="9"/>
  <c r="X40" i="9"/>
  <c r="T40" i="9"/>
  <c r="X53" i="9"/>
  <c r="V53" i="9"/>
  <c r="T53" i="9"/>
  <c r="X18" i="9"/>
  <c r="V18" i="9"/>
  <c r="X50" i="9"/>
  <c r="V50" i="9"/>
  <c r="T50" i="9"/>
  <c r="V54" i="9"/>
  <c r="T54" i="9"/>
  <c r="X54" i="9"/>
  <c r="X62" i="9"/>
  <c r="V62" i="9"/>
  <c r="T62" i="9"/>
  <c r="T18" i="9"/>
  <c r="X23" i="9"/>
  <c r="V23" i="9"/>
  <c r="T23" i="9"/>
  <c r="X57" i="9"/>
  <c r="V57" i="9"/>
  <c r="T57" i="9"/>
  <c r="N27" i="9"/>
  <c r="R24" i="9"/>
  <c r="X25" i="9"/>
  <c r="X26" i="9"/>
  <c r="V26" i="9"/>
  <c r="T26" i="9"/>
  <c r="V40" i="9"/>
  <c r="X58" i="9"/>
  <c r="V58" i="9"/>
  <c r="T58" i="9"/>
  <c r="V32" i="9"/>
  <c r="T37" i="9"/>
  <c r="V44" i="9"/>
  <c r="T49" i="9"/>
  <c r="T52" i="9"/>
  <c r="T61" i="9"/>
  <c r="V37" i="9"/>
  <c r="V49" i="9"/>
  <c r="V52" i="9"/>
  <c r="V61" i="9"/>
  <c r="T45" i="9"/>
  <c r="V45" i="9"/>
  <c r="T36" i="9"/>
  <c r="T48" i="9"/>
  <c r="T60" i="9"/>
  <c r="V48" i="9"/>
  <c r="V60" i="9"/>
  <c r="V19" i="9"/>
  <c r="K27" i="9"/>
  <c r="K64" i="9" s="1"/>
  <c r="T34" i="9"/>
  <c r="L39" i="9"/>
  <c r="T46" i="9"/>
  <c r="X27" i="9" l="1"/>
  <c r="V27" i="9"/>
  <c r="T27" i="9"/>
  <c r="V30" i="9"/>
  <c r="T30" i="9"/>
  <c r="X30" i="9"/>
  <c r="N39" i="9"/>
  <c r="L63" i="9"/>
  <c r="L64" i="9" s="1"/>
  <c r="X24" i="9"/>
  <c r="V24" i="9"/>
  <c r="T24" i="9"/>
  <c r="R39" i="9" l="1"/>
  <c r="N63" i="9"/>
  <c r="N64" i="9" s="1"/>
  <c r="X39" i="9" l="1"/>
  <c r="V39" i="9"/>
  <c r="T39" i="9"/>
  <c r="R63" i="9"/>
  <c r="X63" i="9" l="1"/>
  <c r="V63" i="9"/>
  <c r="T63" i="9"/>
  <c r="R64" i="9"/>
  <c r="X64" i="9" l="1"/>
  <c r="V64" i="9"/>
  <c r="T64" i="9"/>
</calcChain>
</file>

<file path=xl/sharedStrings.xml><?xml version="1.0" encoding="utf-8"?>
<sst xmlns="http://schemas.openxmlformats.org/spreadsheetml/2006/main" count="474" uniqueCount="129">
  <si>
    <t>ANEXO II</t>
  </si>
  <si>
    <t>Sigla: TJAM</t>
  </si>
  <si>
    <t>Nome do Órgão: TRIBUNAL DE JUSTIÇA DO AMAZONAS</t>
  </si>
  <si>
    <t>JOMAR RICARDO SAUNDERS FERNANDES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</si>
  <si>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</si>
  <si>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</si>
  <si>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</si>
  <si>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</si>
  <si>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</si>
  <si>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</si>
  <si>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</si>
  <si>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</si>
  <si>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</si>
  <si>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</si>
  <si>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</si>
  <si>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>Programática
(Programa, Ação e Subtítulo)</t>
  </si>
  <si>
    <t>Descrição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</si>
  <si>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</si>
  <si>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</si>
  <si>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</si>
  <si>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</si>
  <si>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</si>
  <si>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</si>
  <si>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</si>
  <si>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</si>
  <si>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</si>
  <si>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</si>
  <si>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</si>
  <si>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</si>
  <si>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</si>
  <si>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</si>
  <si>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</si>
  <si>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</si>
  <si>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</si>
  <si>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</si>
  <si>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</si>
  <si>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</si>
  <si>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</si>
  <si>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</si>
  <si>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</si>
  <si>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</si>
  <si>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</si>
  <si>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</si>
  <si>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</si>
  <si>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</si>
  <si>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4101</t>
  </si>
  <si>
    <t>TJAM</t>
  </si>
  <si>
    <t>02.061</t>
  </si>
  <si>
    <t>3290/2560.0001</t>
  </si>
  <si>
    <t>Prestação Jurisdicional do 1° Grau na Justiça Estadual</t>
  </si>
  <si>
    <t>Apreciação e Julgamento da Causas na Justiça Estadual do 1° Grau</t>
  </si>
  <si>
    <t>1</t>
  </si>
  <si>
    <t>1.500.100.0.0000.0000</t>
  </si>
  <si>
    <t>Recursos não Vinculados de Impostos</t>
  </si>
  <si>
    <t>3290/2561.0001</t>
  </si>
  <si>
    <t>Benefícios aos Servidores do 1° Grau</t>
  </si>
  <si>
    <t>3290/2563.0001</t>
  </si>
  <si>
    <t>Remuneração de Pessoal Ativo e Encargos Sociais do 1° Grau</t>
  </si>
  <si>
    <t>3291/2564.0001</t>
  </si>
  <si>
    <t>Prestação Jurisdicional do 2° Grau e Gestão Administrativa na Justiça Estadual</t>
  </si>
  <si>
    <t>Benefícios aos Servidores do 2° Grau</t>
  </si>
  <si>
    <t>3291/2565.0001</t>
  </si>
  <si>
    <t>Apreciação e Julgamento de Causas na Justiça Estadual do 2° Grau</t>
  </si>
  <si>
    <t>3291/2566.0001</t>
  </si>
  <si>
    <t>Remuneração de Pessoal Ativo e Encargos Sociais do 2° Grau</t>
  </si>
  <si>
    <t>3291/2744.0001</t>
  </si>
  <si>
    <t>Remuneração de Pessoal Ativo e Encargos Sociais do Apoio Administrativo</t>
  </si>
  <si>
    <t>3291/2745.0001</t>
  </si>
  <si>
    <t>Benefícios aos Servidores do Apoio Administrativo</t>
  </si>
  <si>
    <t>02.128</t>
  </si>
  <si>
    <t>3291/2218.0001</t>
  </si>
  <si>
    <t>Formação e aperfeiçoamento dos Servidores</t>
  </si>
  <si>
    <t>3291/2347.0001</t>
  </si>
  <si>
    <t>Operacionalização da Escola Superior da Magistratura - ESMAM</t>
  </si>
  <si>
    <t>02.272</t>
  </si>
  <si>
    <t>0002.0001.0001</t>
  </si>
  <si>
    <t>Previdência de Inativos e Pensionistas do Estado</t>
  </si>
  <si>
    <t>Encargos com Pessoal Inativo e Pensionistas</t>
  </si>
  <si>
    <t>2</t>
  </si>
  <si>
    <t>28.846</t>
  </si>
  <si>
    <t>0003.0023.0001</t>
  </si>
  <si>
    <t>Operações Especiais: Cumprimento de Senteças Judiciais</t>
  </si>
  <si>
    <t>Cumprimento de Sentenças Judiciais Transitadas em julgado</t>
  </si>
  <si>
    <t>Total l</t>
  </si>
  <si>
    <t>4703</t>
  </si>
  <si>
    <t>Fundo de Modernização e Reaparelhamento do Poder Judiciário Estadual</t>
  </si>
  <si>
    <t>3290/1476.0001</t>
  </si>
  <si>
    <t>Construção, Ampliação e Reforma de Unidades Jurisdicionais do 1° Grau</t>
  </si>
  <si>
    <t>1.759.201.0.0000.0000</t>
  </si>
  <si>
    <t>Recursos Vinculados a Fundos - Diretamente Arrecadados</t>
  </si>
  <si>
    <t>3290/1476.0003</t>
  </si>
  <si>
    <t>3290.1476.0006</t>
  </si>
  <si>
    <t>3290/1476.0011</t>
  </si>
  <si>
    <t>3290/1477.0001</t>
  </si>
  <si>
    <t>Aprimoramento da Segurança Institucional no 1° Grau</t>
  </si>
  <si>
    <t>Apreciação e Julgamento de Causas na Justiça Estadual do 1° Grau</t>
  </si>
  <si>
    <t>Benefícios aos Servidores do 1. Grau</t>
  </si>
  <si>
    <t>3291/1478.0001</t>
  </si>
  <si>
    <t>Construção, Ampliação e Reforma de Unidades Jurisdicionais do 2° Grau</t>
  </si>
  <si>
    <t>3291/1478.0011</t>
  </si>
  <si>
    <t>3291/1479.0001</t>
  </si>
  <si>
    <t>Aprimoramento da Segurança Institucional no 2° Grau</t>
  </si>
  <si>
    <t>3291.1574.0001</t>
  </si>
  <si>
    <t>Ampliação do Quadro Funcional do TJ</t>
  </si>
  <si>
    <t>3291/2581.0001</t>
  </si>
  <si>
    <t>Operacionalização da Corregedoria Geral de Justiça - CGJ/AM</t>
  </si>
  <si>
    <t>02.126</t>
  </si>
  <si>
    <t>3290/2627.0001</t>
  </si>
  <si>
    <t>Manutenção, Ampliação e Aperfeiçoamento da Infraestrutura de TIC no 1° Grau do Poder Judiciário</t>
  </si>
  <si>
    <t>3291/2628.0001</t>
  </si>
  <si>
    <t>Manutenção, Ampliação e Aperfeiçoamento da Infraestrutura de TIC no 2° Grau do Poder Judiciário</t>
  </si>
  <si>
    <t>Formação e Aperfeiçoamento dos servidores</t>
  </si>
  <si>
    <t>3291.2347.0001</t>
  </si>
  <si>
    <t>1.759.285.0.0000.0000</t>
  </si>
  <si>
    <t>Recursos Vinculados a Fundos - Outras Fontes</t>
  </si>
  <si>
    <t>Total ll</t>
  </si>
  <si>
    <t>Total lll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</si>
  <si>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</si>
  <si>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</si>
  <si>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           3.No campo Crédtitos Adicionais: Acréscimos, são somados os valores de Dotação Suplementar e Dotação Especial.</t>
  </si>
  <si>
    <t xml:space="preserve">  </t>
  </si>
  <si>
    <t>Responsável pela Informação: SECRETÁRIA DE ORÇAMENTO E FINANÇAS</t>
  </si>
  <si>
    <t>2.759.201.0.0000.0000</t>
  </si>
  <si>
    <t>2.759.285.0.0000.0000</t>
  </si>
  <si>
    <t>3290/1476.0002</t>
  </si>
  <si>
    <t>3290/1476.0004</t>
  </si>
  <si>
    <t>Mês de Referência: 09/2025</t>
  </si>
  <si>
    <t>Data da Publicação: 20/10/2025</t>
  </si>
  <si>
    <t>3290.1476.0007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</si>
</sst>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\ ;\(0\);\-#\ ;@\ "/>
    <numFmt numFmtId="166" formatCode="#,##0.00\ ;#,##0.00\ ;\-#\ ;@\ "/>
    <numFmt numFmtId="167" formatCode="#,##0.00\ ;#,##0.00\ ;\-#\ "/>
  </numFmts>
  <fonts count="10" x14ac:knownFonts="1">
    <font>
      <sz val="10"/>
      <color rgb="FF000000"/>
      <name val="Arial"/>
      <scheme val="minor"/>
    </font>
    <font>
      <sz val="9"/>
      <color theme="1"/>
      <name val="Arial"/>
    </font>
    <font>
      <sz val="10"/>
      <name val="Arial"/>
    </font>
    <font>
      <sz val="11"/>
      <color theme="1"/>
      <name val="Arial"/>
    </font>
    <font>
      <b/>
      <sz val="7"/>
      <color theme="1"/>
      <name val="Arial"/>
    </font>
    <font>
      <sz val="7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8000"/>
        <bgColor rgb="FF008000"/>
      </patternFill>
    </fill>
    <fill>
      <patternFill patternType="solid">
        <fgColor rgb="FFDBE5F1"/>
        <bgColor rgb="FFDBE5F1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CFE2F3"/>
        <bgColor rgb="FFCFE2F3"/>
      </patternFill>
    </fill>
    <fill>
      <patternFill patternType="solid">
        <fgColor rgb="FF00DCFF"/>
        <bgColor rgb="FF00DCFF"/>
      </patternFill>
    </fill>
  </fills>
  <borders count="16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/>
    <xf numFmtId="0" fontId="3" fillId="2" borderId="0" xfId="0" applyFont="1" applyFill="1"/>
    <xf numFmtId="164" fontId="3" fillId="2" borderId="4" xfId="0" applyNumberFormat="1" applyFont="1" applyFill="1" applyBorder="1"/>
    <xf numFmtId="164" fontId="3" fillId="2" borderId="0" xfId="0" applyNumberFormat="1" applyFont="1" applyFill="1"/>
    <xf numFmtId="164" fontId="3" fillId="0" borderId="0" xfId="0" applyNumberFormat="1" applyFont="1"/>
    <xf numFmtId="0" fontId="4" fillId="0" borderId="12" xfId="0" applyFont="1" applyBorder="1" applyAlignment="1">
      <alignment horizontal="center" wrapText="1"/>
    </xf>
    <xf numFmtId="164" fontId="4" fillId="0" borderId="12" xfId="0" applyNumberFormat="1" applyFont="1" applyBorder="1" applyAlignment="1">
      <alignment horizontal="center" wrapText="1"/>
    </xf>
    <xf numFmtId="165" fontId="4" fillId="0" borderId="12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166" fontId="5" fillId="0" borderId="12" xfId="0" applyNumberFormat="1" applyFont="1" applyBorder="1" applyAlignment="1">
      <alignment horizontal="center" vertical="center"/>
    </xf>
    <xf numFmtId="166" fontId="5" fillId="2" borderId="12" xfId="0" applyNumberFormat="1" applyFont="1" applyFill="1" applyBorder="1" applyAlignment="1">
      <alignment horizontal="center" vertical="center"/>
    </xf>
    <xf numFmtId="4" fontId="4" fillId="2" borderId="12" xfId="0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6" fontId="5" fillId="4" borderId="12" xfId="0" applyNumberFormat="1" applyFont="1" applyFill="1" applyBorder="1" applyAlignment="1">
      <alignment horizontal="center" vertical="center"/>
    </xf>
    <xf numFmtId="0" fontId="3" fillId="2" borderId="12" xfId="0" quotePrefix="1" applyFont="1" applyFill="1" applyBorder="1" applyAlignment="1">
      <alignment horizontal="center" vertical="center"/>
    </xf>
    <xf numFmtId="166" fontId="3" fillId="0" borderId="0" xfId="0" applyNumberFormat="1" applyFont="1"/>
    <xf numFmtId="0" fontId="5" fillId="5" borderId="12" xfId="0" applyFont="1" applyFill="1" applyBorder="1" applyAlignment="1">
      <alignment horizontal="center" vertical="center" wrapText="1"/>
    </xf>
    <xf numFmtId="166" fontId="5" fillId="5" borderId="12" xfId="0" applyNumberFormat="1" applyFont="1" applyFill="1" applyBorder="1" applyAlignment="1">
      <alignment horizontal="center" vertical="center"/>
    </xf>
    <xf numFmtId="167" fontId="5" fillId="0" borderId="12" xfId="0" applyNumberFormat="1" applyFont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 wrapText="1"/>
    </xf>
    <xf numFmtId="4" fontId="4" fillId="6" borderId="12" xfId="0" applyNumberFormat="1" applyFont="1" applyFill="1" applyBorder="1" applyAlignment="1">
      <alignment horizontal="center" vertical="center" wrapText="1"/>
    </xf>
    <xf numFmtId="164" fontId="4" fillId="6" borderId="12" xfId="0" applyNumberFormat="1" applyFont="1" applyFill="1" applyBorder="1" applyAlignment="1">
      <alignment horizontal="center" vertical="center"/>
    </xf>
    <xf numFmtId="49" fontId="3" fillId="6" borderId="12" xfId="0" applyNumberFormat="1" applyFont="1" applyFill="1" applyBorder="1"/>
    <xf numFmtId="4" fontId="3" fillId="6" borderId="12" xfId="0" applyNumberFormat="1" applyFont="1" applyFill="1" applyBorder="1"/>
    <xf numFmtId="164" fontId="3" fillId="6" borderId="12" xfId="0" applyNumberFormat="1" applyFont="1" applyFill="1" applyBorder="1"/>
    <xf numFmtId="49" fontId="3" fillId="0" borderId="12" xfId="0" applyNumberFormat="1" applyFont="1" applyBorder="1"/>
    <xf numFmtId="4" fontId="3" fillId="0" borderId="12" xfId="0" applyNumberFormat="1" applyFont="1" applyBorder="1"/>
    <xf numFmtId="164" fontId="3" fillId="0" borderId="12" xfId="0" applyNumberFormat="1" applyFont="1" applyBorder="1"/>
    <xf numFmtId="0" fontId="5" fillId="7" borderId="12" xfId="0" applyFont="1" applyFill="1" applyBorder="1" applyAlignment="1">
      <alignment horizontal="center" vertical="center" wrapText="1"/>
    </xf>
    <xf numFmtId="167" fontId="5" fillId="0" borderId="3" xfId="0" applyNumberFormat="1" applyFont="1" applyBorder="1" applyAlignment="1">
      <alignment horizontal="center" vertical="center"/>
    </xf>
    <xf numFmtId="166" fontId="5" fillId="7" borderId="12" xfId="0" applyNumberFormat="1" applyFont="1" applyFill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6" fontId="5" fillId="8" borderId="12" xfId="0" applyNumberFormat="1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 wrapText="1"/>
    </xf>
    <xf numFmtId="4" fontId="4" fillId="9" borderId="12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/>
    <xf numFmtId="0" fontId="3" fillId="2" borderId="14" xfId="0" applyFont="1" applyFill="1" applyBorder="1"/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166" fontId="3" fillId="2" borderId="0" xfId="0" applyNumberFormat="1" applyFont="1" applyFill="1"/>
    <xf numFmtId="0" fontId="8" fillId="0" borderId="0" xfId="0" applyFont="1" applyAlignment="1">
      <alignment horizontal="center"/>
    </xf>
    <xf numFmtId="4" fontId="3" fillId="2" borderId="0" xfId="0" applyNumberFormat="1" applyFont="1" applyFill="1"/>
    <xf numFmtId="4" fontId="4" fillId="9" borderId="10" xfId="0" applyNumberFormat="1" applyFont="1" applyFill="1" applyBorder="1" applyAlignment="1">
      <alignment horizontal="center" vertical="center" wrapText="1"/>
    </xf>
    <xf numFmtId="164" fontId="4" fillId="9" borderId="10" xfId="0" applyNumberFormat="1" applyFont="1" applyFill="1" applyBorder="1" applyAlignment="1">
      <alignment horizontal="center" vertical="center"/>
    </xf>
    <xf numFmtId="0" fontId="3" fillId="2" borderId="15" xfId="0" applyFont="1" applyFill="1" applyBorder="1"/>
    <xf numFmtId="4" fontId="9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8" xfId="0" applyFont="1" applyBorder="1"/>
    <xf numFmtId="0" fontId="0" fillId="0" borderId="0" xfId="0"/>
    <xf numFmtId="0" fontId="2" fillId="0" borderId="9" xfId="0" applyFont="1" applyBorder="1"/>
    <xf numFmtId="49" fontId="1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wrapText="1"/>
    </xf>
    <xf numFmtId="49" fontId="3" fillId="9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AA1009"/>
  <sheetViews>
    <sheetView tabSelected="1" topLeftCell="A56" workbookViewId="0">
      <selection activeCell="E21" sqref="E21"/>
    </sheetView>
  </sheetViews>
  <sheetFormatPr defaultColWidth="12.5703125" defaultRowHeight="15.75" customHeight="1" x14ac:dyDescent="0.2"/>
  <cols>
    <col min="8" max="8" width="13.7109375" customWidth="1"/>
    <col min="25" max="25" width="13.42578125" customWidth="1"/>
  </cols>
  <sheetData>
    <row r="1" spans="1:27" ht="14.25" x14ac:dyDescent="0.2">
      <c r="A1" s="63" t="s">
        <v>0</v>
      </c>
      <c r="B1" s="64"/>
      <c r="C1" s="64"/>
      <c r="D1" s="64"/>
      <c r="E1" s="64"/>
      <c r="F1" s="65"/>
      <c r="G1" s="1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1"/>
      <c r="W1" s="1"/>
      <c r="X1" s="1"/>
      <c r="Y1" s="1"/>
      <c r="Z1" s="1"/>
      <c r="AA1" s="1"/>
    </row>
    <row r="2" spans="1:27" ht="14.25" x14ac:dyDescent="0.2">
      <c r="A2" s="66" t="s">
        <v>1</v>
      </c>
      <c r="B2" s="67"/>
      <c r="C2" s="67"/>
      <c r="D2" s="67"/>
      <c r="E2" s="67"/>
      <c r="F2" s="68"/>
      <c r="G2" s="1"/>
      <c r="H2" s="1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1"/>
      <c r="W2" s="1"/>
      <c r="X2" s="1"/>
      <c r="Y2" s="1"/>
      <c r="Z2" s="1"/>
      <c r="AA2" s="1"/>
    </row>
    <row r="3" spans="1:27" ht="14.25" x14ac:dyDescent="0.2">
      <c r="A3" s="66" t="s">
        <v>2</v>
      </c>
      <c r="B3" s="67"/>
      <c r="C3" s="67"/>
      <c r="D3" s="67"/>
      <c r="E3" s="67"/>
      <c r="F3" s="68"/>
      <c r="G3" s="1"/>
      <c r="H3" s="1"/>
      <c r="I3" s="1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1"/>
      <c r="W3" s="1"/>
      <c r="X3" s="1"/>
      <c r="Y3" s="1"/>
      <c r="Z3" s="1"/>
      <c r="AA3" s="1"/>
    </row>
    <row r="4" spans="1:27" ht="14.25" x14ac:dyDescent="0.2">
      <c r="A4" s="63" t="s">
        <v>3</v>
      </c>
      <c r="B4" s="64"/>
      <c r="C4" s="64"/>
      <c r="D4" s="64"/>
      <c r="E4" s="64"/>
      <c r="F4" s="65"/>
      <c r="G4" s="1"/>
      <c r="H4" s="1"/>
      <c r="I4" s="1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1"/>
      <c r="W4" s="1"/>
      <c r="X4" s="1"/>
      <c r="Y4" s="1"/>
      <c r="Z4" s="1"/>
      <c r="AA4" s="1"/>
    </row>
    <row r="5" spans="1:27" ht="14.25" x14ac:dyDescent="0.2">
      <c r="A5" s="69" t="s">
        <v>121</v>
      </c>
      <c r="B5" s="70"/>
      <c r="C5" s="70"/>
      <c r="D5" s="70"/>
      <c r="E5" s="70"/>
      <c r="F5" s="71"/>
      <c r="G5" s="1"/>
      <c r="H5" s="1"/>
      <c r="I5" s="1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1"/>
      <c r="W5" s="1"/>
      <c r="X5" s="1"/>
      <c r="Y5" s="1"/>
      <c r="Z5" s="1"/>
      <c r="AA5" s="1"/>
    </row>
    <row r="6" spans="1:27" ht="14.25" x14ac:dyDescent="0.2">
      <c r="A6" s="63" t="s">
        <v>126</v>
      </c>
      <c r="B6" s="64"/>
      <c r="C6" s="64"/>
      <c r="D6" s="64"/>
      <c r="E6" s="64"/>
      <c r="F6" s="65"/>
      <c r="G6" s="1"/>
      <c r="H6" s="1"/>
      <c r="I6" s="1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1"/>
      <c r="W6" s="1"/>
      <c r="X6" s="1"/>
      <c r="Y6" s="1"/>
      <c r="Z6" s="1"/>
      <c r="AA6" s="1"/>
    </row>
    <row r="7" spans="1:27" ht="14.25" x14ac:dyDescent="0.2">
      <c r="A7" s="72" t="s">
        <v>127</v>
      </c>
      <c r="B7" s="64"/>
      <c r="C7" s="64"/>
      <c r="D7" s="64"/>
      <c r="E7" s="64"/>
      <c r="F7" s="65"/>
      <c r="G7" s="1"/>
      <c r="H7" s="1"/>
      <c r="I7" s="1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3"/>
      <c r="V7" s="1"/>
      <c r="W7" s="1"/>
      <c r="X7" s="1"/>
      <c r="Y7" s="1"/>
      <c r="Z7" s="1"/>
      <c r="AA7" s="1"/>
    </row>
    <row r="8" spans="1:27" ht="14.25" x14ac:dyDescent="0.2">
      <c r="A8" s="76"/>
      <c r="B8" s="70"/>
      <c r="C8" s="70"/>
      <c r="D8" s="70"/>
      <c r="E8" s="70"/>
      <c r="F8" s="70"/>
      <c r="G8" s="1"/>
      <c r="H8" s="1"/>
      <c r="I8" s="1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4"/>
      <c r="V8" s="1"/>
      <c r="W8" s="1"/>
      <c r="X8" s="1"/>
      <c r="Y8" s="1"/>
      <c r="Z8" s="1"/>
      <c r="AA8" s="1"/>
    </row>
    <row r="9" spans="1:27" ht="14.25" x14ac:dyDescent="0.2">
      <c r="A9" s="77" t="s">
        <v>4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1"/>
      <c r="Z9" s="1"/>
      <c r="AA9" s="1"/>
    </row>
    <row r="10" spans="1:27" ht="17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4"/>
      <c r="V10" s="1"/>
      <c r="W10" s="5"/>
      <c r="X10" s="1"/>
      <c r="Y10" s="1"/>
      <c r="Z10" s="1"/>
      <c r="AA10" s="1"/>
    </row>
    <row r="11" spans="1:27" ht="27" customHeight="1" x14ac:dyDescent="0.2">
      <c r="A11" s="73" t="s">
        <v>5</v>
      </c>
      <c r="B11" s="64"/>
      <c r="C11" s="64"/>
      <c r="D11" s="64"/>
      <c r="E11" s="64"/>
      <c r="F11" s="64"/>
      <c r="G11" s="64"/>
      <c r="H11" s="64"/>
      <c r="I11" s="64"/>
      <c r="J11" s="65"/>
      <c r="K11" s="74" t="s">
        <v>6</v>
      </c>
      <c r="L11" s="84" t="s">
        <v>7</v>
      </c>
      <c r="M11" s="88"/>
      <c r="N11" s="74" t="s">
        <v>8</v>
      </c>
      <c r="O11" s="74" t="s">
        <v>9</v>
      </c>
      <c r="P11" s="73" t="s">
        <v>10</v>
      </c>
      <c r="Q11" s="65"/>
      <c r="R11" s="74" t="s">
        <v>11</v>
      </c>
      <c r="S11" s="84" t="s">
        <v>12</v>
      </c>
      <c r="T11" s="87"/>
      <c r="U11" s="87"/>
      <c r="V11" s="87"/>
      <c r="W11" s="87"/>
      <c r="X11" s="88"/>
      <c r="Y11" s="1"/>
      <c r="Z11" s="1"/>
      <c r="AA11" s="1"/>
    </row>
    <row r="12" spans="1:27" ht="14.25" x14ac:dyDescent="0.2">
      <c r="A12" s="84" t="s">
        <v>13</v>
      </c>
      <c r="B12" s="65"/>
      <c r="C12" s="74" t="s">
        <v>14</v>
      </c>
      <c r="D12" s="74" t="s">
        <v>15</v>
      </c>
      <c r="E12" s="84" t="s">
        <v>16</v>
      </c>
      <c r="F12" s="65"/>
      <c r="G12" s="74" t="s">
        <v>17</v>
      </c>
      <c r="H12" s="84" t="s">
        <v>18</v>
      </c>
      <c r="I12" s="65"/>
      <c r="J12" s="78" t="s">
        <v>19</v>
      </c>
      <c r="K12" s="75"/>
      <c r="L12" s="6" t="s">
        <v>20</v>
      </c>
      <c r="M12" s="6" t="s">
        <v>21</v>
      </c>
      <c r="N12" s="75"/>
      <c r="O12" s="75"/>
      <c r="P12" s="6" t="s">
        <v>22</v>
      </c>
      <c r="Q12" s="6" t="s">
        <v>23</v>
      </c>
      <c r="R12" s="75"/>
      <c r="S12" s="6" t="s">
        <v>24</v>
      </c>
      <c r="T12" s="7" t="s">
        <v>25</v>
      </c>
      <c r="U12" s="6" t="s">
        <v>26</v>
      </c>
      <c r="V12" s="7" t="s">
        <v>25</v>
      </c>
      <c r="W12" s="8" t="s">
        <v>27</v>
      </c>
      <c r="X12" s="7" t="s">
        <v>25</v>
      </c>
      <c r="Y12" s="1"/>
      <c r="Z12" s="1"/>
      <c r="AA12" s="1"/>
    </row>
    <row r="13" spans="1:27" ht="18" x14ac:dyDescent="0.2">
      <c r="A13" s="9" t="s">
        <v>28</v>
      </c>
      <c r="B13" s="9" t="s">
        <v>16</v>
      </c>
      <c r="C13" s="75"/>
      <c r="D13" s="75"/>
      <c r="E13" s="9" t="s">
        <v>29</v>
      </c>
      <c r="F13" s="9" t="s">
        <v>30</v>
      </c>
      <c r="G13" s="75"/>
      <c r="H13" s="9" t="s">
        <v>28</v>
      </c>
      <c r="I13" s="9" t="s">
        <v>16</v>
      </c>
      <c r="J13" s="75"/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7" t="s">
        <v>40</v>
      </c>
      <c r="U13" s="6" t="s">
        <v>41</v>
      </c>
      <c r="V13" s="7" t="s">
        <v>42</v>
      </c>
      <c r="W13" s="8" t="s">
        <v>43</v>
      </c>
      <c r="X13" s="7" t="s">
        <v>44</v>
      </c>
      <c r="Y13" s="1"/>
      <c r="Z13" s="1"/>
      <c r="AA13" s="1"/>
    </row>
    <row r="14" spans="1:27" ht="36" x14ac:dyDescent="0.2">
      <c r="A14" s="10" t="s">
        <v>45</v>
      </c>
      <c r="B14" s="11" t="s">
        <v>46</v>
      </c>
      <c r="C14" s="11" t="s">
        <v>47</v>
      </c>
      <c r="D14" s="11" t="s">
        <v>48</v>
      </c>
      <c r="E14" s="11" t="s">
        <v>49</v>
      </c>
      <c r="F14" s="11" t="s">
        <v>50</v>
      </c>
      <c r="G14" s="11" t="s">
        <v>51</v>
      </c>
      <c r="H14" s="11" t="s">
        <v>52</v>
      </c>
      <c r="I14" s="11" t="s">
        <v>53</v>
      </c>
      <c r="J14" s="12">
        <v>3</v>
      </c>
      <c r="K14" s="13">
        <v>100000</v>
      </c>
      <c r="L14" s="14">
        <v>0</v>
      </c>
      <c r="M14" s="14">
        <v>100000</v>
      </c>
      <c r="N14" s="15">
        <f t="shared" ref="N14:N26" si="0">K14+L14-M14</f>
        <v>0</v>
      </c>
      <c r="O14" s="16"/>
      <c r="P14" s="16"/>
      <c r="Q14" s="16"/>
      <c r="R14" s="15">
        <f t="shared" ref="R14:R26" si="1">N14-O14+P14+Q14</f>
        <v>0</v>
      </c>
      <c r="S14" s="14">
        <v>0</v>
      </c>
      <c r="T14" s="17">
        <f t="shared" ref="T14:T27" si="2">IF(R14&gt;0,S14/R14,0)</f>
        <v>0</v>
      </c>
      <c r="U14" s="18">
        <v>0</v>
      </c>
      <c r="V14" s="17">
        <f t="shared" ref="V14:V27" si="3">IF(R14&gt;0,U14/R14,0)</f>
        <v>0</v>
      </c>
      <c r="W14" s="14">
        <v>0</v>
      </c>
      <c r="X14" s="17">
        <f t="shared" ref="X14:X27" si="4">IF(R14&gt;0,W14/R14,0)</f>
        <v>0</v>
      </c>
      <c r="Y14" s="1"/>
      <c r="Z14" s="1"/>
      <c r="AA14" s="1"/>
    </row>
    <row r="15" spans="1:27" ht="36" x14ac:dyDescent="0.2">
      <c r="A15" s="10" t="s">
        <v>45</v>
      </c>
      <c r="B15" s="11" t="s">
        <v>46</v>
      </c>
      <c r="C15" s="11" t="s">
        <v>47</v>
      </c>
      <c r="D15" s="11" t="s">
        <v>54</v>
      </c>
      <c r="E15" s="11" t="s">
        <v>49</v>
      </c>
      <c r="F15" s="11" t="s">
        <v>55</v>
      </c>
      <c r="G15" s="11" t="s">
        <v>51</v>
      </c>
      <c r="H15" s="11" t="s">
        <v>52</v>
      </c>
      <c r="I15" s="11" t="s">
        <v>53</v>
      </c>
      <c r="J15" s="12">
        <v>3</v>
      </c>
      <c r="K15" s="13">
        <v>84417500</v>
      </c>
      <c r="L15" s="14">
        <v>0</v>
      </c>
      <c r="M15" s="14">
        <v>7405000</v>
      </c>
      <c r="N15" s="15">
        <f t="shared" si="0"/>
        <v>77012500</v>
      </c>
      <c r="O15" s="19"/>
      <c r="P15" s="16"/>
      <c r="Q15" s="16"/>
      <c r="R15" s="15">
        <f t="shared" si="1"/>
        <v>77012500</v>
      </c>
      <c r="S15" s="14">
        <v>60817190.18</v>
      </c>
      <c r="T15" s="17">
        <f t="shared" si="2"/>
        <v>0.78970543976627172</v>
      </c>
      <c r="U15" s="18">
        <v>57148421.770000003</v>
      </c>
      <c r="V15" s="17">
        <f t="shared" si="3"/>
        <v>0.74206683031975329</v>
      </c>
      <c r="W15" s="14">
        <v>49528545.909999996</v>
      </c>
      <c r="X15" s="17">
        <f t="shared" si="4"/>
        <v>0.64312346580100632</v>
      </c>
      <c r="Y15" s="20"/>
      <c r="Z15" s="1"/>
      <c r="AA15" s="1"/>
    </row>
    <row r="16" spans="1:27" ht="36" x14ac:dyDescent="0.2">
      <c r="A16" s="10" t="s">
        <v>45</v>
      </c>
      <c r="B16" s="11" t="s">
        <v>46</v>
      </c>
      <c r="C16" s="11" t="s">
        <v>47</v>
      </c>
      <c r="D16" s="11" t="s">
        <v>56</v>
      </c>
      <c r="E16" s="11" t="s">
        <v>49</v>
      </c>
      <c r="F16" s="11" t="s">
        <v>57</v>
      </c>
      <c r="G16" s="11" t="s">
        <v>51</v>
      </c>
      <c r="H16" s="11" t="s">
        <v>52</v>
      </c>
      <c r="I16" s="11" t="s">
        <v>53</v>
      </c>
      <c r="J16" s="21">
        <v>1</v>
      </c>
      <c r="K16" s="13">
        <v>509048274</v>
      </c>
      <c r="L16" s="14">
        <v>7765301.5499999998</v>
      </c>
      <c r="M16" s="14">
        <v>9765301.5500000007</v>
      </c>
      <c r="N16" s="15">
        <f t="shared" si="0"/>
        <v>507048274</v>
      </c>
      <c r="O16" s="16"/>
      <c r="P16" s="16"/>
      <c r="Q16" s="16"/>
      <c r="R16" s="15">
        <f t="shared" si="1"/>
        <v>507048274</v>
      </c>
      <c r="S16" s="14">
        <v>396781740.33999997</v>
      </c>
      <c r="T16" s="17">
        <f t="shared" si="2"/>
        <v>0.78253247409732818</v>
      </c>
      <c r="U16" s="22">
        <v>392072024.48000002</v>
      </c>
      <c r="V16" s="17">
        <f t="shared" si="3"/>
        <v>0.77324397810690515</v>
      </c>
      <c r="W16" s="14">
        <v>352309232.62</v>
      </c>
      <c r="X16" s="17">
        <f t="shared" si="4"/>
        <v>0.69482384752186344</v>
      </c>
      <c r="Y16" s="1"/>
      <c r="Z16" s="1"/>
      <c r="AA16" s="1"/>
    </row>
    <row r="17" spans="1:27" ht="45" x14ac:dyDescent="0.2">
      <c r="A17" s="10" t="s">
        <v>45</v>
      </c>
      <c r="B17" s="11" t="s">
        <v>46</v>
      </c>
      <c r="C17" s="11" t="s">
        <v>47</v>
      </c>
      <c r="D17" s="11" t="s">
        <v>58</v>
      </c>
      <c r="E17" s="11" t="s">
        <v>59</v>
      </c>
      <c r="F17" s="11" t="s">
        <v>60</v>
      </c>
      <c r="G17" s="11" t="s">
        <v>51</v>
      </c>
      <c r="H17" s="11" t="s">
        <v>52</v>
      </c>
      <c r="I17" s="11" t="s">
        <v>53</v>
      </c>
      <c r="J17" s="12">
        <v>3</v>
      </c>
      <c r="K17" s="13">
        <v>24811400</v>
      </c>
      <c r="L17" s="14">
        <v>0</v>
      </c>
      <c r="M17" s="14">
        <v>0</v>
      </c>
      <c r="N17" s="15">
        <f t="shared" si="0"/>
        <v>24811400</v>
      </c>
      <c r="O17" s="16"/>
      <c r="P17" s="16"/>
      <c r="Q17" s="16"/>
      <c r="R17" s="15">
        <f t="shared" si="1"/>
        <v>24811400</v>
      </c>
      <c r="S17" s="14">
        <v>21474964.829999998</v>
      </c>
      <c r="T17" s="17">
        <f t="shared" si="2"/>
        <v>0.86552813746906654</v>
      </c>
      <c r="U17" s="18">
        <v>21472439.550000001</v>
      </c>
      <c r="V17" s="17">
        <f t="shared" si="3"/>
        <v>0.86542635844813276</v>
      </c>
      <c r="W17" s="14">
        <v>19078415.170000002</v>
      </c>
      <c r="X17" s="17">
        <f t="shared" si="4"/>
        <v>0.76893747108184152</v>
      </c>
      <c r="Y17" s="1"/>
      <c r="Z17" s="1"/>
      <c r="AA17" s="1"/>
    </row>
    <row r="18" spans="1:27" ht="45" x14ac:dyDescent="0.2">
      <c r="A18" s="10" t="s">
        <v>45</v>
      </c>
      <c r="B18" s="11" t="s">
        <v>46</v>
      </c>
      <c r="C18" s="11" t="s">
        <v>47</v>
      </c>
      <c r="D18" s="11" t="s">
        <v>61</v>
      </c>
      <c r="E18" s="11" t="s">
        <v>59</v>
      </c>
      <c r="F18" s="11" t="s">
        <v>62</v>
      </c>
      <c r="G18" s="11" t="s">
        <v>51</v>
      </c>
      <c r="H18" s="11" t="s">
        <v>52</v>
      </c>
      <c r="I18" s="11" t="s">
        <v>53</v>
      </c>
      <c r="J18" s="12">
        <v>3</v>
      </c>
      <c r="K18" s="13">
        <v>50000</v>
      </c>
      <c r="L18" s="14">
        <v>0</v>
      </c>
      <c r="M18" s="14">
        <v>50000</v>
      </c>
      <c r="N18" s="15">
        <f t="shared" si="0"/>
        <v>0</v>
      </c>
      <c r="O18" s="16"/>
      <c r="P18" s="16"/>
      <c r="Q18" s="16"/>
      <c r="R18" s="15">
        <f t="shared" si="1"/>
        <v>0</v>
      </c>
      <c r="S18" s="14">
        <v>0</v>
      </c>
      <c r="T18" s="17">
        <f t="shared" si="2"/>
        <v>0</v>
      </c>
      <c r="U18" s="18">
        <v>0</v>
      </c>
      <c r="V18" s="17">
        <f t="shared" si="3"/>
        <v>0</v>
      </c>
      <c r="W18" s="14">
        <v>0</v>
      </c>
      <c r="X18" s="17">
        <f t="shared" si="4"/>
        <v>0</v>
      </c>
      <c r="Y18" s="1"/>
      <c r="Z18" s="1"/>
      <c r="AA18" s="1"/>
    </row>
    <row r="19" spans="1:27" ht="45" x14ac:dyDescent="0.2">
      <c r="A19" s="10" t="s">
        <v>45</v>
      </c>
      <c r="B19" s="11" t="s">
        <v>46</v>
      </c>
      <c r="C19" s="11" t="s">
        <v>47</v>
      </c>
      <c r="D19" s="11" t="s">
        <v>63</v>
      </c>
      <c r="E19" s="11" t="s">
        <v>59</v>
      </c>
      <c r="F19" s="11" t="s">
        <v>64</v>
      </c>
      <c r="G19" s="11" t="s">
        <v>51</v>
      </c>
      <c r="H19" s="11" t="s">
        <v>52</v>
      </c>
      <c r="I19" s="11" t="s">
        <v>53</v>
      </c>
      <c r="J19" s="21">
        <v>1</v>
      </c>
      <c r="K19" s="13">
        <v>134637767</v>
      </c>
      <c r="L19" s="14">
        <v>5359594.4400000004</v>
      </c>
      <c r="M19" s="14">
        <v>5359594.4400000004</v>
      </c>
      <c r="N19" s="15">
        <f t="shared" si="0"/>
        <v>134637767</v>
      </c>
      <c r="O19" s="16"/>
      <c r="P19" s="16"/>
      <c r="Q19" s="16"/>
      <c r="R19" s="15">
        <f t="shared" si="1"/>
        <v>134637767</v>
      </c>
      <c r="S19" s="14">
        <v>112492847.83</v>
      </c>
      <c r="T19" s="17">
        <f t="shared" si="2"/>
        <v>0.83552223374292889</v>
      </c>
      <c r="U19" s="22">
        <v>110249744.59999999</v>
      </c>
      <c r="V19" s="17">
        <f t="shared" si="3"/>
        <v>0.81886195126810146</v>
      </c>
      <c r="W19" s="14">
        <v>98870717.859999999</v>
      </c>
      <c r="X19" s="17">
        <f t="shared" si="4"/>
        <v>0.73434609072207802</v>
      </c>
      <c r="Y19" s="1"/>
      <c r="Z19" s="1"/>
      <c r="AA19" s="1"/>
    </row>
    <row r="20" spans="1:27" ht="45" x14ac:dyDescent="0.2">
      <c r="A20" s="10" t="s">
        <v>45</v>
      </c>
      <c r="B20" s="11" t="s">
        <v>46</v>
      </c>
      <c r="C20" s="11" t="s">
        <v>47</v>
      </c>
      <c r="D20" s="11" t="s">
        <v>65</v>
      </c>
      <c r="E20" s="11" t="s">
        <v>59</v>
      </c>
      <c r="F20" s="11" t="s">
        <v>66</v>
      </c>
      <c r="G20" s="11" t="s">
        <v>51</v>
      </c>
      <c r="H20" s="11" t="s">
        <v>52</v>
      </c>
      <c r="I20" s="11" t="s">
        <v>53</v>
      </c>
      <c r="J20" s="21">
        <v>1</v>
      </c>
      <c r="K20" s="13">
        <v>171339678</v>
      </c>
      <c r="L20" s="14">
        <v>155331.88</v>
      </c>
      <c r="M20" s="14">
        <v>185331.88</v>
      </c>
      <c r="N20" s="15">
        <f t="shared" si="0"/>
        <v>171309678</v>
      </c>
      <c r="O20" s="16"/>
      <c r="P20" s="16"/>
      <c r="Q20" s="16"/>
      <c r="R20" s="15">
        <f t="shared" si="1"/>
        <v>171309678</v>
      </c>
      <c r="S20" s="14">
        <v>124178670.27</v>
      </c>
      <c r="T20" s="17">
        <f t="shared" si="2"/>
        <v>0.72487831230410693</v>
      </c>
      <c r="U20" s="22">
        <v>123439073.25</v>
      </c>
      <c r="V20" s="17">
        <f t="shared" si="3"/>
        <v>0.72056100210520502</v>
      </c>
      <c r="W20" s="14">
        <v>110691929.86</v>
      </c>
      <c r="X20" s="17">
        <f t="shared" si="4"/>
        <v>0.64615105901956105</v>
      </c>
      <c r="Y20" s="1"/>
      <c r="Z20" s="1"/>
      <c r="AA20" s="1"/>
    </row>
    <row r="21" spans="1:27" ht="45" x14ac:dyDescent="0.2">
      <c r="A21" s="10" t="s">
        <v>45</v>
      </c>
      <c r="B21" s="11" t="s">
        <v>46</v>
      </c>
      <c r="C21" s="11" t="s">
        <v>47</v>
      </c>
      <c r="D21" s="11" t="s">
        <v>67</v>
      </c>
      <c r="E21" s="11" t="s">
        <v>59</v>
      </c>
      <c r="F21" s="11" t="s">
        <v>68</v>
      </c>
      <c r="G21" s="11" t="s">
        <v>51</v>
      </c>
      <c r="H21" s="11" t="s">
        <v>52</v>
      </c>
      <c r="I21" s="11" t="s">
        <v>53</v>
      </c>
      <c r="J21" s="12">
        <v>3</v>
      </c>
      <c r="K21" s="13">
        <v>27383200</v>
      </c>
      <c r="L21" s="14">
        <v>19500</v>
      </c>
      <c r="M21" s="14">
        <v>19500</v>
      </c>
      <c r="N21" s="15">
        <f t="shared" si="0"/>
        <v>27383200</v>
      </c>
      <c r="O21" s="16"/>
      <c r="P21" s="16"/>
      <c r="Q21" s="16"/>
      <c r="R21" s="15">
        <f t="shared" si="1"/>
        <v>27383200</v>
      </c>
      <c r="S21" s="14">
        <v>22244701.210000001</v>
      </c>
      <c r="T21" s="17">
        <f t="shared" si="2"/>
        <v>0.81234849141079202</v>
      </c>
      <c r="U21" s="18">
        <v>22239726.460000001</v>
      </c>
      <c r="V21" s="17">
        <f t="shared" si="3"/>
        <v>0.8121668198019224</v>
      </c>
      <c r="W21" s="14">
        <v>19746761.039999999</v>
      </c>
      <c r="X21" s="17">
        <f t="shared" si="4"/>
        <v>0.72112686026468775</v>
      </c>
      <c r="Y21" s="1"/>
      <c r="Z21" s="1"/>
      <c r="AA21" s="1"/>
    </row>
    <row r="22" spans="1:27" ht="45" x14ac:dyDescent="0.2">
      <c r="A22" s="10" t="s">
        <v>45</v>
      </c>
      <c r="B22" s="11" t="s">
        <v>46</v>
      </c>
      <c r="C22" s="11" t="s">
        <v>69</v>
      </c>
      <c r="D22" s="11" t="s">
        <v>70</v>
      </c>
      <c r="E22" s="11" t="s">
        <v>59</v>
      </c>
      <c r="F22" s="11" t="s">
        <v>71</v>
      </c>
      <c r="G22" s="11" t="s">
        <v>51</v>
      </c>
      <c r="H22" s="11" t="s">
        <v>52</v>
      </c>
      <c r="I22" s="11" t="s">
        <v>53</v>
      </c>
      <c r="J22" s="21">
        <v>1</v>
      </c>
      <c r="K22" s="23">
        <v>367581</v>
      </c>
      <c r="L22" s="14">
        <v>57075.57</v>
      </c>
      <c r="M22" s="14">
        <v>0</v>
      </c>
      <c r="N22" s="15">
        <f t="shared" si="0"/>
        <v>424656.57</v>
      </c>
      <c r="O22" s="16"/>
      <c r="P22" s="16"/>
      <c r="Q22" s="16"/>
      <c r="R22" s="15">
        <f t="shared" si="1"/>
        <v>424656.57</v>
      </c>
      <c r="S22" s="13">
        <v>414350</v>
      </c>
      <c r="T22" s="17">
        <f t="shared" si="2"/>
        <v>0.97572963489061293</v>
      </c>
      <c r="U22" s="22">
        <v>414350</v>
      </c>
      <c r="V22" s="17">
        <f t="shared" si="3"/>
        <v>0.97572963489061293</v>
      </c>
      <c r="W22" s="14">
        <v>348465</v>
      </c>
      <c r="X22" s="17">
        <f t="shared" si="4"/>
        <v>0.82058073421541555</v>
      </c>
      <c r="Y22" s="1"/>
      <c r="Z22" s="1"/>
      <c r="AA22" s="1"/>
    </row>
    <row r="23" spans="1:27" ht="45" x14ac:dyDescent="0.2">
      <c r="A23" s="10" t="s">
        <v>45</v>
      </c>
      <c r="B23" s="11" t="s">
        <v>46</v>
      </c>
      <c r="C23" s="11" t="s">
        <v>69</v>
      </c>
      <c r="D23" s="11" t="s">
        <v>72</v>
      </c>
      <c r="E23" s="11" t="s">
        <v>59</v>
      </c>
      <c r="F23" s="11" t="s">
        <v>73</v>
      </c>
      <c r="G23" s="11" t="s">
        <v>51</v>
      </c>
      <c r="H23" s="11" t="s">
        <v>52</v>
      </c>
      <c r="I23" s="11" t="s">
        <v>53</v>
      </c>
      <c r="J23" s="21">
        <v>1</v>
      </c>
      <c r="K23" s="23">
        <v>306000</v>
      </c>
      <c r="L23" s="14">
        <v>0</v>
      </c>
      <c r="M23" s="14">
        <v>0</v>
      </c>
      <c r="N23" s="15">
        <f t="shared" si="0"/>
        <v>306000</v>
      </c>
      <c r="O23" s="16"/>
      <c r="P23" s="16"/>
      <c r="Q23" s="16"/>
      <c r="R23" s="15">
        <f t="shared" si="1"/>
        <v>306000</v>
      </c>
      <c r="S23" s="13">
        <v>187962.9</v>
      </c>
      <c r="T23" s="17">
        <f t="shared" si="2"/>
        <v>0.61425784313725484</v>
      </c>
      <c r="U23" s="22">
        <v>187962.9</v>
      </c>
      <c r="V23" s="17">
        <f t="shared" si="3"/>
        <v>0.61425784313725484</v>
      </c>
      <c r="W23" s="14">
        <v>161732.9</v>
      </c>
      <c r="X23" s="17">
        <f t="shared" si="4"/>
        <v>0.52853888888888889</v>
      </c>
      <c r="Y23" s="1"/>
      <c r="Z23" s="1"/>
      <c r="AA23" s="1"/>
    </row>
    <row r="24" spans="1:27" ht="36" x14ac:dyDescent="0.2">
      <c r="A24" s="10" t="s">
        <v>45</v>
      </c>
      <c r="B24" s="11" t="s">
        <v>46</v>
      </c>
      <c r="C24" s="11" t="s">
        <v>74</v>
      </c>
      <c r="D24" s="11" t="s">
        <v>75</v>
      </c>
      <c r="E24" s="11" t="s">
        <v>76</v>
      </c>
      <c r="F24" s="11" t="s">
        <v>77</v>
      </c>
      <c r="G24" s="11" t="s">
        <v>78</v>
      </c>
      <c r="H24" s="11" t="s">
        <v>52</v>
      </c>
      <c r="I24" s="11" t="s">
        <v>53</v>
      </c>
      <c r="J24" s="21">
        <v>1</v>
      </c>
      <c r="K24" s="13">
        <f>146328600-K25</f>
        <v>140090700</v>
      </c>
      <c r="L24" s="14">
        <f>47586860.57-L25</f>
        <v>43481860.57</v>
      </c>
      <c r="M24" s="14">
        <f>38181860.57-M25</f>
        <v>38181667.609999999</v>
      </c>
      <c r="N24" s="15">
        <f t="shared" si="0"/>
        <v>145390892.95999998</v>
      </c>
      <c r="O24" s="16"/>
      <c r="P24" s="16"/>
      <c r="Q24" s="15">
        <f>-29401949.65-34429130.79</f>
        <v>-63831080.439999998</v>
      </c>
      <c r="R24" s="15">
        <f t="shared" si="1"/>
        <v>81559812.519999981</v>
      </c>
      <c r="S24" s="14">
        <f>78650237.72-S25</f>
        <v>69052107.439999998</v>
      </c>
      <c r="T24" s="17">
        <f t="shared" si="2"/>
        <v>0.84664377352592779</v>
      </c>
      <c r="U24" s="22">
        <f>51462441.74-U25</f>
        <v>45047640.380000003</v>
      </c>
      <c r="V24" s="17">
        <f t="shared" si="3"/>
        <v>0.55232643367042422</v>
      </c>
      <c r="W24" s="14">
        <f>47621727.64-W25</f>
        <v>41206926.280000001</v>
      </c>
      <c r="X24" s="17">
        <f t="shared" si="4"/>
        <v>0.50523566701303169</v>
      </c>
      <c r="Y24" s="1"/>
      <c r="Z24" s="1"/>
      <c r="AA24" s="1"/>
    </row>
    <row r="25" spans="1:27" ht="36" x14ac:dyDescent="0.2">
      <c r="A25" s="10" t="s">
        <v>45</v>
      </c>
      <c r="B25" s="11" t="s">
        <v>46</v>
      </c>
      <c r="C25" s="11" t="s">
        <v>74</v>
      </c>
      <c r="D25" s="11" t="s">
        <v>75</v>
      </c>
      <c r="E25" s="11" t="s">
        <v>76</v>
      </c>
      <c r="F25" s="11" t="s">
        <v>77</v>
      </c>
      <c r="G25" s="11" t="s">
        <v>78</v>
      </c>
      <c r="H25" s="11" t="s">
        <v>52</v>
      </c>
      <c r="I25" s="11" t="s">
        <v>53</v>
      </c>
      <c r="J25" s="12">
        <v>3</v>
      </c>
      <c r="K25" s="13">
        <f>6237900</f>
        <v>6237900</v>
      </c>
      <c r="L25" s="14">
        <v>4105000</v>
      </c>
      <c r="M25" s="14">
        <v>192.96</v>
      </c>
      <c r="N25" s="15">
        <f t="shared" si="0"/>
        <v>10342707.039999999</v>
      </c>
      <c r="O25" s="16"/>
      <c r="P25" s="16"/>
      <c r="Q25" s="16"/>
      <c r="R25" s="15">
        <f t="shared" si="1"/>
        <v>10342707.039999999</v>
      </c>
      <c r="S25" s="14">
        <f>18955.04+201586.37+9377395.91+192.96</f>
        <v>9598130.2800000012</v>
      </c>
      <c r="T25" s="17">
        <f t="shared" si="2"/>
        <v>0.92800948947694473</v>
      </c>
      <c r="U25" s="18">
        <f>18955.04+201586.37+6194066.99+192.96</f>
        <v>6414801.3600000003</v>
      </c>
      <c r="V25" s="17">
        <f t="shared" si="3"/>
        <v>0.62022460224301212</v>
      </c>
      <c r="W25" s="13">
        <f>18955.04+201586.37+6194066.99+192.96</f>
        <v>6414801.3600000003</v>
      </c>
      <c r="X25" s="17">
        <f t="shared" si="4"/>
        <v>0.62022460224301212</v>
      </c>
      <c r="Y25" s="1"/>
      <c r="Z25" s="1"/>
      <c r="AA25" s="1"/>
    </row>
    <row r="26" spans="1:27" ht="45" x14ac:dyDescent="0.2">
      <c r="A26" s="10" t="s">
        <v>45</v>
      </c>
      <c r="B26" s="24" t="s">
        <v>46</v>
      </c>
      <c r="C26" s="24" t="s">
        <v>79</v>
      </c>
      <c r="D26" s="24" t="s">
        <v>80</v>
      </c>
      <c r="E26" s="24" t="s">
        <v>81</v>
      </c>
      <c r="F26" s="24" t="s">
        <v>82</v>
      </c>
      <c r="G26" s="24" t="s">
        <v>51</v>
      </c>
      <c r="H26" s="24" t="s">
        <v>52</v>
      </c>
      <c r="I26" s="11" t="s">
        <v>53</v>
      </c>
      <c r="J26" s="21">
        <v>1</v>
      </c>
      <c r="K26" s="14">
        <v>843000</v>
      </c>
      <c r="L26" s="14">
        <v>122924.43</v>
      </c>
      <c r="M26" s="14">
        <v>0</v>
      </c>
      <c r="N26" s="15">
        <f t="shared" si="0"/>
        <v>965924.42999999993</v>
      </c>
      <c r="O26" s="16"/>
      <c r="P26" s="16"/>
      <c r="Q26" s="16"/>
      <c r="R26" s="15">
        <f t="shared" si="1"/>
        <v>965924.42999999993</v>
      </c>
      <c r="S26" s="14">
        <v>965924.43</v>
      </c>
      <c r="T26" s="17">
        <f t="shared" si="2"/>
        <v>1.0000000000000002</v>
      </c>
      <c r="U26" s="22">
        <v>965924.43</v>
      </c>
      <c r="V26" s="17">
        <f t="shared" si="3"/>
        <v>1.0000000000000002</v>
      </c>
      <c r="W26" s="14">
        <v>965924.43</v>
      </c>
      <c r="X26" s="17">
        <f t="shared" si="4"/>
        <v>1.0000000000000002</v>
      </c>
      <c r="Y26" s="1"/>
      <c r="Z26" s="1"/>
      <c r="AA26" s="1"/>
    </row>
    <row r="27" spans="1:27" ht="14.25" x14ac:dyDescent="0.2">
      <c r="A27" s="79" t="s">
        <v>83</v>
      </c>
      <c r="B27" s="64"/>
      <c r="C27" s="64"/>
      <c r="D27" s="64"/>
      <c r="E27" s="64"/>
      <c r="F27" s="64"/>
      <c r="G27" s="64"/>
      <c r="H27" s="64"/>
      <c r="I27" s="64"/>
      <c r="J27" s="65"/>
      <c r="K27" s="25">
        <f t="shared" ref="K27:S27" si="5">SUM(K14:K26)</f>
        <v>1099633000</v>
      </c>
      <c r="L27" s="25">
        <f t="shared" si="5"/>
        <v>61066588.440000005</v>
      </c>
      <c r="M27" s="25">
        <f t="shared" si="5"/>
        <v>61066588.440000005</v>
      </c>
      <c r="N27" s="25">
        <f t="shared" si="5"/>
        <v>1099633000</v>
      </c>
      <c r="O27" s="25">
        <f t="shared" si="5"/>
        <v>0</v>
      </c>
      <c r="P27" s="25">
        <f t="shared" si="5"/>
        <v>0</v>
      </c>
      <c r="Q27" s="25">
        <f t="shared" si="5"/>
        <v>-63831080.439999998</v>
      </c>
      <c r="R27" s="25">
        <f t="shared" si="5"/>
        <v>1035801919.5599999</v>
      </c>
      <c r="S27" s="25">
        <f t="shared" si="5"/>
        <v>818208589.70999992</v>
      </c>
      <c r="T27" s="26">
        <f t="shared" si="2"/>
        <v>0.7899276630589448</v>
      </c>
      <c r="U27" s="25">
        <f>SUM(U14:U26)</f>
        <v>779652109.17999995</v>
      </c>
      <c r="V27" s="26">
        <f t="shared" si="3"/>
        <v>0.75270386591983696</v>
      </c>
      <c r="W27" s="25">
        <f>SUM(W14:W26)</f>
        <v>699323452.42999983</v>
      </c>
      <c r="X27" s="26">
        <f t="shared" si="4"/>
        <v>0.67515172469178919</v>
      </c>
      <c r="Y27" s="1"/>
      <c r="Z27" s="1"/>
      <c r="AA27" s="1"/>
    </row>
    <row r="28" spans="1:2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8"/>
      <c r="L28" s="28"/>
      <c r="M28" s="28"/>
      <c r="N28" s="28"/>
      <c r="O28" s="28"/>
      <c r="P28" s="28"/>
      <c r="Q28" s="28"/>
      <c r="R28" s="28"/>
      <c r="S28" s="28"/>
      <c r="T28" s="29"/>
      <c r="U28" s="28"/>
      <c r="V28" s="29"/>
      <c r="W28" s="28"/>
      <c r="X28" s="29"/>
      <c r="Y28" s="1"/>
      <c r="Z28" s="1"/>
      <c r="AA28" s="1"/>
    </row>
    <row r="29" spans="1:27" ht="14.2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1"/>
      <c r="L29" s="31"/>
      <c r="M29" s="31"/>
      <c r="N29" s="31"/>
      <c r="O29" s="31"/>
      <c r="P29" s="31"/>
      <c r="Q29" s="31"/>
      <c r="R29" s="31"/>
      <c r="S29" s="31"/>
      <c r="T29" s="32"/>
      <c r="U29" s="31"/>
      <c r="V29" s="32"/>
      <c r="W29" s="31"/>
      <c r="X29" s="32"/>
      <c r="Y29" s="1"/>
      <c r="Z29" s="1"/>
      <c r="AA29" s="1"/>
    </row>
    <row r="30" spans="1:27" ht="54" x14ac:dyDescent="0.2">
      <c r="A30" s="10" t="s">
        <v>84</v>
      </c>
      <c r="B30" s="11" t="s">
        <v>85</v>
      </c>
      <c r="C30" s="11" t="s">
        <v>47</v>
      </c>
      <c r="D30" s="11" t="s">
        <v>86</v>
      </c>
      <c r="E30" s="11" t="s">
        <v>49</v>
      </c>
      <c r="F30" s="11" t="s">
        <v>87</v>
      </c>
      <c r="G30" s="11" t="s">
        <v>51</v>
      </c>
      <c r="H30" s="11" t="s">
        <v>88</v>
      </c>
      <c r="I30" s="11" t="s">
        <v>89</v>
      </c>
      <c r="J30" s="33">
        <v>4</v>
      </c>
      <c r="K30" s="23">
        <v>5240500</v>
      </c>
      <c r="L30" s="14">
        <v>0</v>
      </c>
      <c r="M30" s="14">
        <v>4736538.2</v>
      </c>
      <c r="N30" s="15">
        <f t="shared" ref="N30:N62" si="6">K30+L30-M30</f>
        <v>503961.79999999981</v>
      </c>
      <c r="O30" s="16"/>
      <c r="P30" s="16"/>
      <c r="Q30" s="16"/>
      <c r="R30" s="15">
        <f t="shared" ref="R30:R62" si="7">N30-O30+P30+Q30</f>
        <v>503961.79999999981</v>
      </c>
      <c r="S30" s="34">
        <v>0</v>
      </c>
      <c r="T30" s="17">
        <f t="shared" ref="T30:T64" si="8">IF(R30&gt;0,S30/R30,0)</f>
        <v>0</v>
      </c>
      <c r="U30" s="35">
        <v>0</v>
      </c>
      <c r="V30" s="17">
        <f t="shared" ref="V30:V64" si="9">IF(R30&gt;0,U30/R30,0)</f>
        <v>0</v>
      </c>
      <c r="W30" s="14">
        <v>0</v>
      </c>
      <c r="X30" s="17">
        <f t="shared" ref="X30:X64" si="10">IF(R30&gt;0,W30/R30,0)</f>
        <v>0</v>
      </c>
      <c r="Y30" s="1"/>
      <c r="Z30" s="1"/>
      <c r="AA30" s="1"/>
    </row>
    <row r="31" spans="1:27" ht="54" x14ac:dyDescent="0.2">
      <c r="A31" s="10" t="s">
        <v>84</v>
      </c>
      <c r="B31" s="11" t="s">
        <v>85</v>
      </c>
      <c r="C31" s="11" t="s">
        <v>47</v>
      </c>
      <c r="D31" s="11" t="s">
        <v>124</v>
      </c>
      <c r="E31" s="11" t="s">
        <v>49</v>
      </c>
      <c r="F31" s="11" t="s">
        <v>87</v>
      </c>
      <c r="G31" s="11" t="s">
        <v>51</v>
      </c>
      <c r="H31" s="11" t="s">
        <v>122</v>
      </c>
      <c r="I31" s="11" t="s">
        <v>89</v>
      </c>
      <c r="J31" s="33">
        <v>4</v>
      </c>
      <c r="K31" s="23">
        <v>0</v>
      </c>
      <c r="L31" s="14">
        <v>1356170.79</v>
      </c>
      <c r="M31" s="14">
        <v>0</v>
      </c>
      <c r="N31" s="15">
        <f t="shared" si="6"/>
        <v>1356170.79</v>
      </c>
      <c r="O31" s="16"/>
      <c r="P31" s="16"/>
      <c r="Q31" s="16"/>
      <c r="R31" s="15">
        <f t="shared" si="7"/>
        <v>1356170.79</v>
      </c>
      <c r="S31" s="34">
        <v>0</v>
      </c>
      <c r="T31" s="17">
        <f t="shared" si="8"/>
        <v>0</v>
      </c>
      <c r="U31" s="35">
        <v>0</v>
      </c>
      <c r="V31" s="17">
        <f t="shared" si="9"/>
        <v>0</v>
      </c>
      <c r="W31" s="14">
        <v>0</v>
      </c>
      <c r="X31" s="17">
        <f t="shared" si="10"/>
        <v>0</v>
      </c>
      <c r="Y31" s="1"/>
      <c r="Z31" s="1"/>
      <c r="AA31" s="1"/>
    </row>
    <row r="32" spans="1:27" ht="54" x14ac:dyDescent="0.2">
      <c r="A32" s="10" t="s">
        <v>84</v>
      </c>
      <c r="B32" s="11" t="s">
        <v>85</v>
      </c>
      <c r="C32" s="11" t="s">
        <v>47</v>
      </c>
      <c r="D32" s="11" t="s">
        <v>90</v>
      </c>
      <c r="E32" s="11" t="s">
        <v>49</v>
      </c>
      <c r="F32" s="11" t="s">
        <v>87</v>
      </c>
      <c r="G32" s="11" t="s">
        <v>51</v>
      </c>
      <c r="H32" s="11" t="s">
        <v>88</v>
      </c>
      <c r="I32" s="11" t="s">
        <v>89</v>
      </c>
      <c r="J32" s="33">
        <v>4</v>
      </c>
      <c r="K32" s="23">
        <v>0</v>
      </c>
      <c r="L32" s="14">
        <v>1213295.44</v>
      </c>
      <c r="M32" s="14">
        <v>0</v>
      </c>
      <c r="N32" s="15">
        <f t="shared" si="6"/>
        <v>1213295.44</v>
      </c>
      <c r="O32" s="16"/>
      <c r="P32" s="16"/>
      <c r="Q32" s="16"/>
      <c r="R32" s="15">
        <f t="shared" si="7"/>
        <v>1213295.44</v>
      </c>
      <c r="S32" s="34">
        <v>1213295.44</v>
      </c>
      <c r="T32" s="17">
        <f t="shared" si="8"/>
        <v>1</v>
      </c>
      <c r="U32" s="35">
        <v>1199096.82</v>
      </c>
      <c r="V32" s="17">
        <f t="shared" si="9"/>
        <v>0.98829747518048872</v>
      </c>
      <c r="W32" s="14">
        <v>1199096.82</v>
      </c>
      <c r="X32" s="17">
        <f t="shared" si="10"/>
        <v>0.98829747518048872</v>
      </c>
      <c r="Y32" s="1"/>
      <c r="Z32" s="1"/>
      <c r="AA32" s="1"/>
    </row>
    <row r="33" spans="1:27" ht="54" x14ac:dyDescent="0.2">
      <c r="A33" s="10" t="s">
        <v>84</v>
      </c>
      <c r="B33" s="11" t="s">
        <v>85</v>
      </c>
      <c r="C33" s="11" t="s">
        <v>47</v>
      </c>
      <c r="D33" s="11" t="s">
        <v>125</v>
      </c>
      <c r="E33" s="11" t="s">
        <v>49</v>
      </c>
      <c r="F33" s="11" t="s">
        <v>87</v>
      </c>
      <c r="G33" s="11" t="s">
        <v>51</v>
      </c>
      <c r="H33" s="11" t="s">
        <v>122</v>
      </c>
      <c r="I33" s="11" t="s">
        <v>89</v>
      </c>
      <c r="J33" s="33">
        <v>4</v>
      </c>
      <c r="K33" s="23">
        <v>0</v>
      </c>
      <c r="L33" s="14">
        <v>3279107</v>
      </c>
      <c r="M33" s="14">
        <v>191800.79</v>
      </c>
      <c r="N33" s="15">
        <f t="shared" si="6"/>
        <v>3087306.21</v>
      </c>
      <c r="O33" s="16"/>
      <c r="P33" s="16"/>
      <c r="Q33" s="16"/>
      <c r="R33" s="15">
        <f t="shared" si="7"/>
        <v>3087306.21</v>
      </c>
      <c r="S33" s="34">
        <v>0</v>
      </c>
      <c r="T33" s="17">
        <f t="shared" si="8"/>
        <v>0</v>
      </c>
      <c r="U33" s="35">
        <v>0</v>
      </c>
      <c r="V33" s="17">
        <f t="shared" si="9"/>
        <v>0</v>
      </c>
      <c r="W33" s="14">
        <v>0</v>
      </c>
      <c r="X33" s="17">
        <f t="shared" si="10"/>
        <v>0</v>
      </c>
      <c r="Y33" s="1"/>
      <c r="Z33" s="1"/>
      <c r="AA33" s="1"/>
    </row>
    <row r="34" spans="1:27" ht="54" x14ac:dyDescent="0.2">
      <c r="A34" s="10" t="s">
        <v>84</v>
      </c>
      <c r="B34" s="11" t="s">
        <v>85</v>
      </c>
      <c r="C34" s="11" t="s">
        <v>47</v>
      </c>
      <c r="D34" s="11" t="s">
        <v>91</v>
      </c>
      <c r="E34" s="11" t="s">
        <v>49</v>
      </c>
      <c r="F34" s="11" t="s">
        <v>87</v>
      </c>
      <c r="G34" s="11" t="s">
        <v>51</v>
      </c>
      <c r="H34" s="11" t="s">
        <v>88</v>
      </c>
      <c r="I34" s="11" t="s">
        <v>89</v>
      </c>
      <c r="J34" s="33">
        <v>4</v>
      </c>
      <c r="K34" s="23">
        <v>0</v>
      </c>
      <c r="L34" s="14">
        <v>449787.42</v>
      </c>
      <c r="M34" s="14">
        <v>0</v>
      </c>
      <c r="N34" s="15">
        <f t="shared" si="6"/>
        <v>449787.42</v>
      </c>
      <c r="O34" s="16"/>
      <c r="P34" s="16"/>
      <c r="Q34" s="16"/>
      <c r="R34" s="15">
        <f t="shared" si="7"/>
        <v>449787.42</v>
      </c>
      <c r="S34" s="34">
        <v>449787.42</v>
      </c>
      <c r="T34" s="17">
        <f t="shared" si="8"/>
        <v>1</v>
      </c>
      <c r="U34" s="35">
        <v>325526.96000000002</v>
      </c>
      <c r="V34" s="17">
        <f t="shared" si="9"/>
        <v>0.72373513692312696</v>
      </c>
      <c r="W34" s="14">
        <v>325526.96000000002</v>
      </c>
      <c r="X34" s="17">
        <f t="shared" si="10"/>
        <v>0.72373513692312696</v>
      </c>
      <c r="Y34" s="1"/>
      <c r="Z34" s="1"/>
      <c r="AA34" s="1"/>
    </row>
    <row r="35" spans="1:27" ht="41.25" customHeight="1" x14ac:dyDescent="0.2">
      <c r="A35" s="10" t="s">
        <v>84</v>
      </c>
      <c r="B35" s="11" t="s">
        <v>85</v>
      </c>
      <c r="C35" s="11" t="s">
        <v>47</v>
      </c>
      <c r="D35" s="11" t="s">
        <v>128</v>
      </c>
      <c r="E35" s="11" t="s">
        <v>49</v>
      </c>
      <c r="F35" s="11" t="s">
        <v>87</v>
      </c>
      <c r="G35" s="11" t="s">
        <v>51</v>
      </c>
      <c r="H35" s="11" t="s">
        <v>122</v>
      </c>
      <c r="I35" s="11" t="s">
        <v>89</v>
      </c>
      <c r="J35" s="33">
        <v>4</v>
      </c>
      <c r="K35" s="23">
        <v>0</v>
      </c>
      <c r="L35" s="14">
        <v>951921</v>
      </c>
      <c r="M35" s="14">
        <v>0</v>
      </c>
      <c r="N35" s="15">
        <f t="shared" si="6"/>
        <v>951921</v>
      </c>
      <c r="O35" s="16"/>
      <c r="P35" s="16"/>
      <c r="Q35" s="16"/>
      <c r="R35" s="15">
        <f t="shared" si="7"/>
        <v>951921</v>
      </c>
      <c r="S35" s="34">
        <v>0</v>
      </c>
      <c r="T35" s="17">
        <f t="shared" si="8"/>
        <v>0</v>
      </c>
      <c r="U35" s="35">
        <v>0</v>
      </c>
      <c r="V35" s="17">
        <f t="shared" si="9"/>
        <v>0</v>
      </c>
      <c r="W35" s="14">
        <v>0</v>
      </c>
      <c r="X35" s="17">
        <f t="shared" si="10"/>
        <v>0</v>
      </c>
      <c r="Y35" s="1"/>
      <c r="Z35" s="1"/>
      <c r="AA35" s="1"/>
    </row>
    <row r="36" spans="1:27" ht="54" x14ac:dyDescent="0.2">
      <c r="A36" s="10" t="s">
        <v>84</v>
      </c>
      <c r="B36" s="11" t="s">
        <v>85</v>
      </c>
      <c r="C36" s="11" t="s">
        <v>47</v>
      </c>
      <c r="D36" s="11" t="s">
        <v>92</v>
      </c>
      <c r="E36" s="11" t="s">
        <v>49</v>
      </c>
      <c r="F36" s="11" t="s">
        <v>87</v>
      </c>
      <c r="G36" s="11" t="s">
        <v>51</v>
      </c>
      <c r="H36" s="11" t="s">
        <v>88</v>
      </c>
      <c r="I36" s="11" t="s">
        <v>89</v>
      </c>
      <c r="J36" s="33">
        <v>4</v>
      </c>
      <c r="K36" s="23">
        <v>0</v>
      </c>
      <c r="L36" s="14">
        <v>15347283.539999999</v>
      </c>
      <c r="M36" s="14">
        <v>0</v>
      </c>
      <c r="N36" s="15">
        <f t="shared" si="6"/>
        <v>15347283.539999999</v>
      </c>
      <c r="O36" s="16"/>
      <c r="P36" s="16"/>
      <c r="Q36" s="16"/>
      <c r="R36" s="15">
        <f t="shared" si="7"/>
        <v>15347283.539999999</v>
      </c>
      <c r="S36" s="34">
        <v>14540715.74</v>
      </c>
      <c r="T36" s="17">
        <f t="shared" si="8"/>
        <v>0.94744556599232554</v>
      </c>
      <c r="U36" s="35">
        <v>7832597.1500000004</v>
      </c>
      <c r="V36" s="17">
        <f t="shared" si="9"/>
        <v>0.51035723224802043</v>
      </c>
      <c r="W36" s="14">
        <v>7832597.1500000004</v>
      </c>
      <c r="X36" s="17">
        <f t="shared" si="10"/>
        <v>0.51035723224802043</v>
      </c>
      <c r="Y36" s="1"/>
      <c r="Z36" s="1"/>
      <c r="AA36" s="1"/>
    </row>
    <row r="37" spans="1:27" ht="49.5" customHeight="1" x14ac:dyDescent="0.2">
      <c r="A37" s="10" t="s">
        <v>84</v>
      </c>
      <c r="B37" s="11" t="s">
        <v>85</v>
      </c>
      <c r="C37" s="11" t="s">
        <v>47</v>
      </c>
      <c r="D37" s="11" t="s">
        <v>92</v>
      </c>
      <c r="E37" s="11" t="s">
        <v>49</v>
      </c>
      <c r="F37" s="11" t="s">
        <v>87</v>
      </c>
      <c r="G37" s="11" t="s">
        <v>51</v>
      </c>
      <c r="H37" s="11" t="s">
        <v>122</v>
      </c>
      <c r="I37" s="11" t="s">
        <v>89</v>
      </c>
      <c r="J37" s="33">
        <v>4</v>
      </c>
      <c r="K37" s="23">
        <v>0</v>
      </c>
      <c r="L37" s="14">
        <v>791867.93</v>
      </c>
      <c r="M37" s="14">
        <v>0</v>
      </c>
      <c r="N37" s="15">
        <f t="shared" si="6"/>
        <v>791867.93</v>
      </c>
      <c r="O37" s="16"/>
      <c r="P37" s="16"/>
      <c r="Q37" s="16"/>
      <c r="R37" s="15">
        <f t="shared" si="7"/>
        <v>791867.93</v>
      </c>
      <c r="S37" s="34">
        <v>0</v>
      </c>
      <c r="T37" s="17">
        <f t="shared" si="8"/>
        <v>0</v>
      </c>
      <c r="U37" s="35">
        <v>0</v>
      </c>
      <c r="V37" s="17">
        <f t="shared" si="9"/>
        <v>0</v>
      </c>
      <c r="W37" s="14">
        <v>0</v>
      </c>
      <c r="X37" s="17">
        <f t="shared" si="10"/>
        <v>0</v>
      </c>
      <c r="Y37" s="1"/>
      <c r="Z37" s="1"/>
      <c r="AA37" s="1"/>
    </row>
    <row r="38" spans="1:27" ht="45" x14ac:dyDescent="0.2">
      <c r="A38" s="10" t="s">
        <v>84</v>
      </c>
      <c r="B38" s="11" t="s">
        <v>85</v>
      </c>
      <c r="C38" s="11" t="s">
        <v>47</v>
      </c>
      <c r="D38" s="11" t="s">
        <v>93</v>
      </c>
      <c r="E38" s="11" t="s">
        <v>49</v>
      </c>
      <c r="F38" s="11" t="s">
        <v>94</v>
      </c>
      <c r="G38" s="11" t="s">
        <v>51</v>
      </c>
      <c r="H38" s="11" t="s">
        <v>88</v>
      </c>
      <c r="I38" s="11" t="s">
        <v>89</v>
      </c>
      <c r="J38" s="33">
        <v>4</v>
      </c>
      <c r="K38" s="23">
        <v>1379400</v>
      </c>
      <c r="L38" s="14">
        <v>0</v>
      </c>
      <c r="M38" s="14">
        <v>0</v>
      </c>
      <c r="N38" s="15">
        <f t="shared" si="6"/>
        <v>1379400</v>
      </c>
      <c r="O38" s="16"/>
      <c r="P38" s="16"/>
      <c r="Q38" s="16"/>
      <c r="R38" s="15">
        <f t="shared" si="7"/>
        <v>1379400</v>
      </c>
      <c r="S38" s="34">
        <v>0</v>
      </c>
      <c r="T38" s="17">
        <f t="shared" si="8"/>
        <v>0</v>
      </c>
      <c r="U38" s="35">
        <v>0</v>
      </c>
      <c r="V38" s="17">
        <f t="shared" si="9"/>
        <v>0</v>
      </c>
      <c r="W38" s="14">
        <v>0</v>
      </c>
      <c r="X38" s="17">
        <f t="shared" si="10"/>
        <v>0</v>
      </c>
      <c r="Y38" s="1"/>
      <c r="Z38" s="1"/>
      <c r="AA38" s="1"/>
    </row>
    <row r="39" spans="1:27" ht="45" x14ac:dyDescent="0.2">
      <c r="A39" s="10" t="s">
        <v>84</v>
      </c>
      <c r="B39" s="11" t="s">
        <v>85</v>
      </c>
      <c r="C39" s="11" t="s">
        <v>47</v>
      </c>
      <c r="D39" s="11" t="s">
        <v>48</v>
      </c>
      <c r="E39" s="11" t="s">
        <v>49</v>
      </c>
      <c r="F39" s="11" t="s">
        <v>95</v>
      </c>
      <c r="G39" s="11" t="s">
        <v>51</v>
      </c>
      <c r="H39" s="11" t="s">
        <v>88</v>
      </c>
      <c r="I39" s="11" t="s">
        <v>89</v>
      </c>
      <c r="J39" s="12">
        <v>3</v>
      </c>
      <c r="K39" s="23">
        <f>162737000-K40</f>
        <v>160337000</v>
      </c>
      <c r="L39" s="14">
        <f>16795513.49-L40</f>
        <v>16164874.289999999</v>
      </c>
      <c r="M39" s="14">
        <f>44842070.71-M40</f>
        <v>44790091.509999998</v>
      </c>
      <c r="N39" s="15">
        <f t="shared" si="6"/>
        <v>131711782.78</v>
      </c>
      <c r="O39" s="16"/>
      <c r="P39" s="16"/>
      <c r="Q39" s="16"/>
      <c r="R39" s="15">
        <f t="shared" si="7"/>
        <v>131711782.78</v>
      </c>
      <c r="S39" s="23">
        <f>102670198.11-S40</f>
        <v>99992408.819999993</v>
      </c>
      <c r="T39" s="17">
        <f t="shared" si="8"/>
        <v>0.7591758816826486</v>
      </c>
      <c r="U39" s="18">
        <f>59663820.23-U40</f>
        <v>58228845.379999995</v>
      </c>
      <c r="V39" s="17">
        <f t="shared" si="9"/>
        <v>0.44209291037583504</v>
      </c>
      <c r="W39" s="14">
        <f>59192632.69-W40</f>
        <v>57757657.839999996</v>
      </c>
      <c r="X39" s="17">
        <f t="shared" si="10"/>
        <v>0.43851549664674577</v>
      </c>
      <c r="Y39" s="1"/>
      <c r="Z39" s="1"/>
      <c r="AA39" s="1"/>
    </row>
    <row r="40" spans="1:27" ht="45" x14ac:dyDescent="0.2">
      <c r="A40" s="10" t="s">
        <v>84</v>
      </c>
      <c r="B40" s="11" t="s">
        <v>85</v>
      </c>
      <c r="C40" s="11" t="s">
        <v>47</v>
      </c>
      <c r="D40" s="11" t="s">
        <v>48</v>
      </c>
      <c r="E40" s="11" t="s">
        <v>49</v>
      </c>
      <c r="F40" s="11" t="s">
        <v>95</v>
      </c>
      <c r="G40" s="11" t="s">
        <v>51</v>
      </c>
      <c r="H40" s="11" t="s">
        <v>88</v>
      </c>
      <c r="I40" s="11" t="s">
        <v>89</v>
      </c>
      <c r="J40" s="33">
        <v>4</v>
      </c>
      <c r="K40" s="23">
        <f>2400000</f>
        <v>2400000</v>
      </c>
      <c r="L40" s="14">
        <f>578660+51979.2</f>
        <v>630639.19999999995</v>
      </c>
      <c r="M40" s="14">
        <f>51979.2</f>
        <v>51979.199999999997</v>
      </c>
      <c r="N40" s="15">
        <f t="shared" si="6"/>
        <v>2978660</v>
      </c>
      <c r="O40" s="16"/>
      <c r="P40" s="16"/>
      <c r="Q40" s="16"/>
      <c r="R40" s="15">
        <f t="shared" si="7"/>
        <v>2978660</v>
      </c>
      <c r="S40" s="14">
        <f>176670+4494+1518800.86+4850+181770+604702+134523.23+51979.2</f>
        <v>2677789.2900000005</v>
      </c>
      <c r="T40" s="17">
        <f t="shared" si="8"/>
        <v>0.89899125445670214</v>
      </c>
      <c r="U40" s="35">
        <f>176670+605044.65+85147+511634+4500+51979.2</f>
        <v>1434974.8499999999</v>
      </c>
      <c r="V40" s="17">
        <f t="shared" si="9"/>
        <v>0.48175181121712446</v>
      </c>
      <c r="W40" s="14">
        <f>176670+605044.65+85147+511634+4500+51979.2</f>
        <v>1434974.8499999999</v>
      </c>
      <c r="X40" s="17">
        <f t="shared" si="10"/>
        <v>0.48175181121712446</v>
      </c>
      <c r="Y40" s="1"/>
      <c r="Z40" s="1"/>
      <c r="AA40" s="1"/>
    </row>
    <row r="41" spans="1:27" ht="45" x14ac:dyDescent="0.2">
      <c r="A41" s="10" t="s">
        <v>84</v>
      </c>
      <c r="B41" s="11" t="s">
        <v>85</v>
      </c>
      <c r="C41" s="11" t="s">
        <v>47</v>
      </c>
      <c r="D41" s="11" t="s">
        <v>48</v>
      </c>
      <c r="E41" s="11" t="s">
        <v>49</v>
      </c>
      <c r="F41" s="11" t="s">
        <v>95</v>
      </c>
      <c r="G41" s="11" t="s">
        <v>51</v>
      </c>
      <c r="H41" s="11" t="s">
        <v>122</v>
      </c>
      <c r="I41" s="11" t="s">
        <v>89</v>
      </c>
      <c r="J41" s="12">
        <v>3</v>
      </c>
      <c r="K41" s="23">
        <v>0</v>
      </c>
      <c r="L41" s="14">
        <v>19163650.059999999</v>
      </c>
      <c r="M41" s="14">
        <v>0</v>
      </c>
      <c r="N41" s="15">
        <f t="shared" si="6"/>
        <v>19163650.059999999</v>
      </c>
      <c r="O41" s="16"/>
      <c r="P41" s="16"/>
      <c r="Q41" s="16"/>
      <c r="R41" s="15">
        <f t="shared" si="7"/>
        <v>19163650.059999999</v>
      </c>
      <c r="S41" s="23">
        <v>10910023.060000001</v>
      </c>
      <c r="T41" s="17">
        <f t="shared" si="8"/>
        <v>0.56930819681227274</v>
      </c>
      <c r="U41" s="18">
        <v>0</v>
      </c>
      <c r="V41" s="17">
        <f t="shared" si="9"/>
        <v>0</v>
      </c>
      <c r="W41" s="14">
        <v>0</v>
      </c>
      <c r="X41" s="17">
        <f t="shared" si="10"/>
        <v>0</v>
      </c>
      <c r="Y41" s="1"/>
      <c r="Z41" s="1"/>
      <c r="AA41" s="1"/>
    </row>
    <row r="42" spans="1:27" ht="45" x14ac:dyDescent="0.2">
      <c r="A42" s="10" t="s">
        <v>84</v>
      </c>
      <c r="B42" s="11" t="s">
        <v>85</v>
      </c>
      <c r="C42" s="11" t="s">
        <v>47</v>
      </c>
      <c r="D42" s="11" t="s">
        <v>54</v>
      </c>
      <c r="E42" s="11" t="s">
        <v>49</v>
      </c>
      <c r="F42" s="11" t="s">
        <v>96</v>
      </c>
      <c r="G42" s="11" t="s">
        <v>51</v>
      </c>
      <c r="H42" s="11" t="s">
        <v>88</v>
      </c>
      <c r="I42" s="11" t="s">
        <v>89</v>
      </c>
      <c r="J42" s="12">
        <v>3</v>
      </c>
      <c r="K42" s="23">
        <v>100000</v>
      </c>
      <c r="L42" s="13">
        <v>0</v>
      </c>
      <c r="M42" s="13">
        <v>100000</v>
      </c>
      <c r="N42" s="36">
        <f t="shared" si="6"/>
        <v>0</v>
      </c>
      <c r="O42" s="37"/>
      <c r="P42" s="37"/>
      <c r="Q42" s="37"/>
      <c r="R42" s="36">
        <f t="shared" si="7"/>
        <v>0</v>
      </c>
      <c r="S42" s="13">
        <v>0</v>
      </c>
      <c r="T42" s="38">
        <f t="shared" si="8"/>
        <v>0</v>
      </c>
      <c r="U42" s="18">
        <v>0</v>
      </c>
      <c r="V42" s="38">
        <f t="shared" si="9"/>
        <v>0</v>
      </c>
      <c r="W42" s="13">
        <v>0</v>
      </c>
      <c r="X42" s="38">
        <f t="shared" si="10"/>
        <v>0</v>
      </c>
      <c r="Y42" s="1"/>
      <c r="Z42" s="1"/>
      <c r="AA42" s="1"/>
    </row>
    <row r="43" spans="1:27" ht="45" x14ac:dyDescent="0.2">
      <c r="A43" s="10" t="s">
        <v>84</v>
      </c>
      <c r="B43" s="11" t="s">
        <v>85</v>
      </c>
      <c r="C43" s="11" t="s">
        <v>47</v>
      </c>
      <c r="D43" s="11" t="s">
        <v>54</v>
      </c>
      <c r="E43" s="11" t="s">
        <v>49</v>
      </c>
      <c r="F43" s="11" t="s">
        <v>96</v>
      </c>
      <c r="G43" s="11" t="s">
        <v>51</v>
      </c>
      <c r="H43" s="11" t="s">
        <v>122</v>
      </c>
      <c r="I43" s="11" t="s">
        <v>89</v>
      </c>
      <c r="J43" s="12">
        <v>3</v>
      </c>
      <c r="K43" s="23">
        <v>0</v>
      </c>
      <c r="L43" s="13">
        <v>18163875.030000001</v>
      </c>
      <c r="M43" s="13">
        <v>0</v>
      </c>
      <c r="N43" s="36">
        <f t="shared" si="6"/>
        <v>18163875.030000001</v>
      </c>
      <c r="O43" s="37"/>
      <c r="P43" s="37"/>
      <c r="Q43" s="37"/>
      <c r="R43" s="36">
        <f t="shared" si="7"/>
        <v>18163875.030000001</v>
      </c>
      <c r="S43" s="13">
        <v>16728468.18</v>
      </c>
      <c r="T43" s="38">
        <f t="shared" si="8"/>
        <v>0.92097463522352796</v>
      </c>
      <c r="U43" s="18">
        <v>9006616.8900000006</v>
      </c>
      <c r="V43" s="38">
        <f t="shared" si="9"/>
        <v>0.49585327333096058</v>
      </c>
      <c r="W43" s="13">
        <v>9006616.8900000006</v>
      </c>
      <c r="X43" s="38">
        <f t="shared" si="10"/>
        <v>0.49585327333096058</v>
      </c>
      <c r="Y43" s="1"/>
      <c r="Z43" s="1"/>
      <c r="AA43" s="1"/>
    </row>
    <row r="44" spans="1:27" ht="54" x14ac:dyDescent="0.2">
      <c r="A44" s="10" t="s">
        <v>84</v>
      </c>
      <c r="B44" s="11" t="s">
        <v>85</v>
      </c>
      <c r="C44" s="11" t="s">
        <v>47</v>
      </c>
      <c r="D44" s="11" t="s">
        <v>97</v>
      </c>
      <c r="E44" s="11" t="s">
        <v>59</v>
      </c>
      <c r="F44" s="11" t="s">
        <v>98</v>
      </c>
      <c r="G44" s="11" t="s">
        <v>51</v>
      </c>
      <c r="H44" s="11" t="s">
        <v>88</v>
      </c>
      <c r="I44" s="11" t="s">
        <v>89</v>
      </c>
      <c r="J44" s="33">
        <v>4</v>
      </c>
      <c r="K44" s="23">
        <v>1000000</v>
      </c>
      <c r="L44" s="13">
        <v>0</v>
      </c>
      <c r="M44" s="13">
        <v>1000000</v>
      </c>
      <c r="N44" s="36">
        <f t="shared" si="6"/>
        <v>0</v>
      </c>
      <c r="O44" s="37"/>
      <c r="P44" s="37"/>
      <c r="Q44" s="37"/>
      <c r="R44" s="36">
        <f t="shared" si="7"/>
        <v>0</v>
      </c>
      <c r="S44" s="34">
        <v>0</v>
      </c>
      <c r="T44" s="38">
        <f t="shared" si="8"/>
        <v>0</v>
      </c>
      <c r="U44" s="35">
        <v>0</v>
      </c>
      <c r="V44" s="38">
        <f t="shared" si="9"/>
        <v>0</v>
      </c>
      <c r="W44" s="13">
        <v>0</v>
      </c>
      <c r="X44" s="38">
        <f t="shared" si="10"/>
        <v>0</v>
      </c>
      <c r="Y44" s="1"/>
      <c r="Z44" s="1"/>
      <c r="AA44" s="1"/>
    </row>
    <row r="45" spans="1:27" ht="54" x14ac:dyDescent="0.2">
      <c r="A45" s="10" t="s">
        <v>84</v>
      </c>
      <c r="B45" s="11" t="s">
        <v>85</v>
      </c>
      <c r="C45" s="11" t="s">
        <v>47</v>
      </c>
      <c r="D45" s="11" t="s">
        <v>99</v>
      </c>
      <c r="E45" s="11" t="s">
        <v>59</v>
      </c>
      <c r="F45" s="11" t="s">
        <v>98</v>
      </c>
      <c r="G45" s="11" t="s">
        <v>51</v>
      </c>
      <c r="H45" s="11" t="s">
        <v>88</v>
      </c>
      <c r="I45" s="11" t="s">
        <v>89</v>
      </c>
      <c r="J45" s="33">
        <v>4</v>
      </c>
      <c r="K45" s="23">
        <v>0</v>
      </c>
      <c r="L45" s="13">
        <v>12602895.32</v>
      </c>
      <c r="M45" s="13">
        <v>0</v>
      </c>
      <c r="N45" s="36">
        <f t="shared" si="6"/>
        <v>12602895.32</v>
      </c>
      <c r="O45" s="37"/>
      <c r="P45" s="37"/>
      <c r="Q45" s="37"/>
      <c r="R45" s="36">
        <f t="shared" si="7"/>
        <v>12602895.32</v>
      </c>
      <c r="S45" s="34">
        <v>8810572.1699999999</v>
      </c>
      <c r="T45" s="38">
        <f t="shared" si="8"/>
        <v>0.69909111726241013</v>
      </c>
      <c r="U45" s="35">
        <v>0</v>
      </c>
      <c r="V45" s="38">
        <f t="shared" si="9"/>
        <v>0</v>
      </c>
      <c r="W45" s="13">
        <v>0</v>
      </c>
      <c r="X45" s="38">
        <f t="shared" si="10"/>
        <v>0</v>
      </c>
      <c r="Y45" s="1"/>
      <c r="Z45" s="1"/>
      <c r="AA45" s="1"/>
    </row>
    <row r="46" spans="1:27" ht="45" x14ac:dyDescent="0.2">
      <c r="A46" s="10" t="s">
        <v>84</v>
      </c>
      <c r="B46" s="11" t="s">
        <v>85</v>
      </c>
      <c r="C46" s="11" t="s">
        <v>47</v>
      </c>
      <c r="D46" s="11" t="s">
        <v>100</v>
      </c>
      <c r="E46" s="11" t="s">
        <v>59</v>
      </c>
      <c r="F46" s="11" t="s">
        <v>101</v>
      </c>
      <c r="G46" s="11" t="s">
        <v>51</v>
      </c>
      <c r="H46" s="11" t="s">
        <v>88</v>
      </c>
      <c r="I46" s="11" t="s">
        <v>89</v>
      </c>
      <c r="J46" s="33">
        <v>4</v>
      </c>
      <c r="K46" s="23">
        <v>120600</v>
      </c>
      <c r="L46" s="13">
        <v>0</v>
      </c>
      <c r="M46" s="13">
        <v>0</v>
      </c>
      <c r="N46" s="36">
        <f t="shared" si="6"/>
        <v>120600</v>
      </c>
      <c r="O46" s="37"/>
      <c r="P46" s="37"/>
      <c r="Q46" s="37"/>
      <c r="R46" s="36">
        <f t="shared" si="7"/>
        <v>120600</v>
      </c>
      <c r="S46" s="34">
        <v>0</v>
      </c>
      <c r="T46" s="38">
        <f t="shared" si="8"/>
        <v>0</v>
      </c>
      <c r="U46" s="35">
        <v>0</v>
      </c>
      <c r="V46" s="38">
        <f t="shared" si="9"/>
        <v>0</v>
      </c>
      <c r="W46" s="13">
        <v>0</v>
      </c>
      <c r="X46" s="38">
        <f t="shared" si="10"/>
        <v>0</v>
      </c>
      <c r="Y46" s="1"/>
      <c r="Z46" s="1"/>
      <c r="AA46" s="1"/>
    </row>
    <row r="47" spans="1:27" ht="45" x14ac:dyDescent="0.2">
      <c r="A47" s="10" t="s">
        <v>84</v>
      </c>
      <c r="B47" s="11" t="s">
        <v>85</v>
      </c>
      <c r="C47" s="11" t="s">
        <v>47</v>
      </c>
      <c r="D47" s="11" t="s">
        <v>102</v>
      </c>
      <c r="E47" s="11" t="s">
        <v>59</v>
      </c>
      <c r="F47" s="11" t="s">
        <v>103</v>
      </c>
      <c r="G47" s="11" t="s">
        <v>51</v>
      </c>
      <c r="H47" s="11" t="s">
        <v>88</v>
      </c>
      <c r="I47" s="11" t="s">
        <v>89</v>
      </c>
      <c r="J47" s="12">
        <v>3</v>
      </c>
      <c r="K47" s="23">
        <v>500000</v>
      </c>
      <c r="L47" s="13">
        <v>600000</v>
      </c>
      <c r="M47" s="13">
        <v>0</v>
      </c>
      <c r="N47" s="36">
        <f t="shared" si="6"/>
        <v>1100000</v>
      </c>
      <c r="O47" s="37"/>
      <c r="P47" s="37"/>
      <c r="Q47" s="37"/>
      <c r="R47" s="36">
        <f t="shared" si="7"/>
        <v>1100000</v>
      </c>
      <c r="S47" s="34">
        <v>1100000</v>
      </c>
      <c r="T47" s="38">
        <f t="shared" si="8"/>
        <v>1</v>
      </c>
      <c r="U47" s="39">
        <v>615000</v>
      </c>
      <c r="V47" s="38">
        <f t="shared" si="9"/>
        <v>0.55909090909090908</v>
      </c>
      <c r="W47" s="13">
        <v>615000</v>
      </c>
      <c r="X47" s="38">
        <f t="shared" si="10"/>
        <v>0.55909090909090908</v>
      </c>
      <c r="Y47" s="1"/>
      <c r="Z47" s="1"/>
      <c r="AA47" s="1"/>
    </row>
    <row r="48" spans="1:27" ht="45" x14ac:dyDescent="0.2">
      <c r="A48" s="10" t="s">
        <v>84</v>
      </c>
      <c r="B48" s="11" t="s">
        <v>85</v>
      </c>
      <c r="C48" s="11" t="s">
        <v>47</v>
      </c>
      <c r="D48" s="11" t="s">
        <v>58</v>
      </c>
      <c r="E48" s="11" t="s">
        <v>59</v>
      </c>
      <c r="F48" s="11" t="s">
        <v>60</v>
      </c>
      <c r="G48" s="11" t="s">
        <v>51</v>
      </c>
      <c r="H48" s="11" t="s">
        <v>88</v>
      </c>
      <c r="I48" s="11" t="s">
        <v>89</v>
      </c>
      <c r="J48" s="12">
        <v>3</v>
      </c>
      <c r="K48" s="23">
        <v>50000</v>
      </c>
      <c r="L48" s="14">
        <v>0</v>
      </c>
      <c r="M48" s="14">
        <v>0</v>
      </c>
      <c r="N48" s="15">
        <f t="shared" si="6"/>
        <v>50000</v>
      </c>
      <c r="O48" s="16"/>
      <c r="P48" s="16"/>
      <c r="Q48" s="16"/>
      <c r="R48" s="15">
        <f t="shared" si="7"/>
        <v>50000</v>
      </c>
      <c r="S48" s="34">
        <v>0</v>
      </c>
      <c r="T48" s="17">
        <f t="shared" si="8"/>
        <v>0</v>
      </c>
      <c r="U48" s="18">
        <v>0</v>
      </c>
      <c r="V48" s="17">
        <f t="shared" si="9"/>
        <v>0</v>
      </c>
      <c r="W48" s="14">
        <v>0</v>
      </c>
      <c r="X48" s="17">
        <f t="shared" si="10"/>
        <v>0</v>
      </c>
      <c r="Y48" s="1"/>
      <c r="Z48" s="1"/>
      <c r="AA48" s="1"/>
    </row>
    <row r="49" spans="1:27" ht="45" x14ac:dyDescent="0.2">
      <c r="A49" s="10" t="s">
        <v>84</v>
      </c>
      <c r="B49" s="11" t="s">
        <v>85</v>
      </c>
      <c r="C49" s="11" t="s">
        <v>47</v>
      </c>
      <c r="D49" s="11" t="s">
        <v>58</v>
      </c>
      <c r="E49" s="11" t="s">
        <v>59</v>
      </c>
      <c r="F49" s="11" t="s">
        <v>60</v>
      </c>
      <c r="G49" s="11" t="s">
        <v>51</v>
      </c>
      <c r="H49" s="11" t="s">
        <v>122</v>
      </c>
      <c r="I49" s="11" t="s">
        <v>89</v>
      </c>
      <c r="J49" s="12">
        <v>3</v>
      </c>
      <c r="K49" s="23">
        <v>0</v>
      </c>
      <c r="L49" s="14">
        <v>505750</v>
      </c>
      <c r="M49" s="14">
        <v>0</v>
      </c>
      <c r="N49" s="15">
        <f t="shared" si="6"/>
        <v>505750</v>
      </c>
      <c r="O49" s="16"/>
      <c r="P49" s="16"/>
      <c r="Q49" s="16"/>
      <c r="R49" s="15">
        <f t="shared" si="7"/>
        <v>505750</v>
      </c>
      <c r="S49" s="34">
        <v>337894.2</v>
      </c>
      <c r="T49" s="17">
        <f t="shared" si="8"/>
        <v>0.66810519031141868</v>
      </c>
      <c r="U49" s="18">
        <v>161398.16</v>
      </c>
      <c r="V49" s="17">
        <f t="shared" si="9"/>
        <v>0.31912636678200695</v>
      </c>
      <c r="W49" s="14">
        <v>161398.16</v>
      </c>
      <c r="X49" s="17">
        <f t="shared" si="10"/>
        <v>0.31912636678200695</v>
      </c>
      <c r="Y49" s="1"/>
      <c r="Z49" s="1"/>
      <c r="AA49" s="1"/>
    </row>
    <row r="50" spans="1:27" ht="45" x14ac:dyDescent="0.2">
      <c r="A50" s="10" t="s">
        <v>84</v>
      </c>
      <c r="B50" s="11" t="s">
        <v>85</v>
      </c>
      <c r="C50" s="11" t="s">
        <v>47</v>
      </c>
      <c r="D50" s="11" t="s">
        <v>61</v>
      </c>
      <c r="E50" s="11" t="s">
        <v>59</v>
      </c>
      <c r="F50" s="11" t="s">
        <v>62</v>
      </c>
      <c r="G50" s="11" t="s">
        <v>51</v>
      </c>
      <c r="H50" s="11" t="s">
        <v>88</v>
      </c>
      <c r="I50" s="11" t="s">
        <v>89</v>
      </c>
      <c r="J50" s="12">
        <v>3</v>
      </c>
      <c r="K50" s="23">
        <f>54121000-K51</f>
        <v>53911000</v>
      </c>
      <c r="L50" s="14">
        <v>1903514.36</v>
      </c>
      <c r="M50" s="14">
        <v>4631121.3600000003</v>
      </c>
      <c r="N50" s="15">
        <f t="shared" si="6"/>
        <v>51183393</v>
      </c>
      <c r="O50" s="16"/>
      <c r="P50" s="16"/>
      <c r="Q50" s="16"/>
      <c r="R50" s="15">
        <f t="shared" si="7"/>
        <v>51183393</v>
      </c>
      <c r="S50" s="14">
        <f>37275417.93-S51</f>
        <v>37224487.049999997</v>
      </c>
      <c r="T50" s="17">
        <f t="shared" si="8"/>
        <v>0.72727665885690695</v>
      </c>
      <c r="U50" s="18">
        <f>29083853.37-U51</f>
        <v>29035665.870000001</v>
      </c>
      <c r="V50" s="17">
        <f t="shared" si="9"/>
        <v>0.56728685161610914</v>
      </c>
      <c r="W50" s="14">
        <f>28927935.18-W51</f>
        <v>28879747.68</v>
      </c>
      <c r="X50" s="17">
        <f t="shared" si="10"/>
        <v>0.56424058639488783</v>
      </c>
      <c r="Y50" s="1"/>
      <c r="Z50" s="1"/>
      <c r="AA50" s="1"/>
    </row>
    <row r="51" spans="1:27" ht="45" x14ac:dyDescent="0.2">
      <c r="A51" s="10" t="s">
        <v>84</v>
      </c>
      <c r="B51" s="11" t="s">
        <v>85</v>
      </c>
      <c r="C51" s="11" t="s">
        <v>47</v>
      </c>
      <c r="D51" s="11" t="s">
        <v>61</v>
      </c>
      <c r="E51" s="11" t="s">
        <v>59</v>
      </c>
      <c r="F51" s="11" t="s">
        <v>62</v>
      </c>
      <c r="G51" s="11" t="s">
        <v>51</v>
      </c>
      <c r="H51" s="11" t="s">
        <v>88</v>
      </c>
      <c r="I51" s="11" t="s">
        <v>89</v>
      </c>
      <c r="J51" s="33">
        <v>4</v>
      </c>
      <c r="K51" s="23">
        <f>210000</f>
        <v>210000</v>
      </c>
      <c r="L51" s="14">
        <v>0</v>
      </c>
      <c r="M51" s="14">
        <v>0</v>
      </c>
      <c r="N51" s="15">
        <f t="shared" si="6"/>
        <v>210000</v>
      </c>
      <c r="O51" s="16"/>
      <c r="P51" s="16"/>
      <c r="Q51" s="16"/>
      <c r="R51" s="15">
        <f t="shared" si="7"/>
        <v>210000</v>
      </c>
      <c r="S51" s="14">
        <f>11873.28+2743.38+28714.5+7599.72</f>
        <v>50930.880000000005</v>
      </c>
      <c r="T51" s="17">
        <f t="shared" si="8"/>
        <v>0.24252800000000002</v>
      </c>
      <c r="U51" s="35">
        <f>11873.28+28714.5+7599.72</f>
        <v>48187.5</v>
      </c>
      <c r="V51" s="17">
        <f t="shared" si="9"/>
        <v>0.2294642857142857</v>
      </c>
      <c r="W51" s="14">
        <f>11873.28+28714.5+7599.72</f>
        <v>48187.5</v>
      </c>
      <c r="X51" s="17">
        <f t="shared" si="10"/>
        <v>0.2294642857142857</v>
      </c>
      <c r="Y51" s="1"/>
      <c r="Z51" s="1"/>
      <c r="AA51" s="1"/>
    </row>
    <row r="52" spans="1:27" ht="45" x14ac:dyDescent="0.2">
      <c r="A52" s="10" t="s">
        <v>84</v>
      </c>
      <c r="B52" s="24" t="s">
        <v>85</v>
      </c>
      <c r="C52" s="24" t="s">
        <v>47</v>
      </c>
      <c r="D52" s="24" t="s">
        <v>104</v>
      </c>
      <c r="E52" s="11" t="s">
        <v>59</v>
      </c>
      <c r="F52" s="24" t="s">
        <v>105</v>
      </c>
      <c r="G52" s="24" t="s">
        <v>51</v>
      </c>
      <c r="H52" s="24" t="s">
        <v>88</v>
      </c>
      <c r="I52" s="11" t="s">
        <v>89</v>
      </c>
      <c r="J52" s="12">
        <v>3</v>
      </c>
      <c r="K52" s="23">
        <f>960000</f>
        <v>960000</v>
      </c>
      <c r="L52" s="14">
        <v>65740</v>
      </c>
      <c r="M52" s="14">
        <v>65740</v>
      </c>
      <c r="N52" s="15">
        <f t="shared" si="6"/>
        <v>960000</v>
      </c>
      <c r="O52" s="16"/>
      <c r="P52" s="16"/>
      <c r="Q52" s="16"/>
      <c r="R52" s="15">
        <f t="shared" si="7"/>
        <v>960000</v>
      </c>
      <c r="S52" s="13">
        <v>608257.6</v>
      </c>
      <c r="T52" s="17">
        <f t="shared" si="8"/>
        <v>0.63360166666666662</v>
      </c>
      <c r="U52" s="18">
        <v>608257.6</v>
      </c>
      <c r="V52" s="17">
        <f t="shared" si="9"/>
        <v>0.63360166666666662</v>
      </c>
      <c r="W52" s="14">
        <v>608257.6</v>
      </c>
      <c r="X52" s="17">
        <f t="shared" si="10"/>
        <v>0.63360166666666662</v>
      </c>
      <c r="Y52" s="1"/>
      <c r="Z52" s="1"/>
      <c r="AA52" s="1"/>
    </row>
    <row r="53" spans="1:27" ht="45" x14ac:dyDescent="0.2">
      <c r="A53" s="10" t="s">
        <v>84</v>
      </c>
      <c r="B53" s="24" t="s">
        <v>85</v>
      </c>
      <c r="C53" s="24" t="s">
        <v>47</v>
      </c>
      <c r="D53" s="24" t="s">
        <v>67</v>
      </c>
      <c r="E53" s="11" t="s">
        <v>59</v>
      </c>
      <c r="F53" s="24" t="s">
        <v>68</v>
      </c>
      <c r="G53" s="24" t="s">
        <v>51</v>
      </c>
      <c r="H53" s="24" t="s">
        <v>88</v>
      </c>
      <c r="I53" s="11" t="s">
        <v>89</v>
      </c>
      <c r="J53" s="12">
        <v>3</v>
      </c>
      <c r="K53" s="23">
        <v>50000</v>
      </c>
      <c r="L53" s="14">
        <v>0</v>
      </c>
      <c r="M53" s="14">
        <v>0</v>
      </c>
      <c r="N53" s="15">
        <f t="shared" si="6"/>
        <v>50000</v>
      </c>
      <c r="O53" s="16"/>
      <c r="P53" s="16"/>
      <c r="Q53" s="16"/>
      <c r="R53" s="15">
        <f t="shared" si="7"/>
        <v>50000</v>
      </c>
      <c r="S53" s="13">
        <v>0</v>
      </c>
      <c r="T53" s="17">
        <f t="shared" si="8"/>
        <v>0</v>
      </c>
      <c r="U53" s="18">
        <v>0</v>
      </c>
      <c r="V53" s="17">
        <f t="shared" si="9"/>
        <v>0</v>
      </c>
      <c r="W53" s="14">
        <v>0</v>
      </c>
      <c r="X53" s="17">
        <f t="shared" si="10"/>
        <v>0</v>
      </c>
      <c r="Y53" s="1"/>
      <c r="Z53" s="1"/>
      <c r="AA53" s="1"/>
    </row>
    <row r="54" spans="1:27" ht="45" x14ac:dyDescent="0.2">
      <c r="A54" s="10" t="s">
        <v>84</v>
      </c>
      <c r="B54" s="24" t="s">
        <v>85</v>
      </c>
      <c r="C54" s="24" t="s">
        <v>47</v>
      </c>
      <c r="D54" s="24" t="s">
        <v>67</v>
      </c>
      <c r="E54" s="11" t="s">
        <v>59</v>
      </c>
      <c r="F54" s="24" t="s">
        <v>68</v>
      </c>
      <c r="G54" s="24" t="s">
        <v>51</v>
      </c>
      <c r="H54" s="24" t="s">
        <v>122</v>
      </c>
      <c r="I54" s="11" t="s">
        <v>89</v>
      </c>
      <c r="J54" s="12">
        <v>3</v>
      </c>
      <c r="K54" s="23">
        <v>0</v>
      </c>
      <c r="L54" s="14">
        <v>180000</v>
      </c>
      <c r="M54" s="14">
        <v>0</v>
      </c>
      <c r="N54" s="15">
        <f t="shared" si="6"/>
        <v>180000</v>
      </c>
      <c r="O54" s="16"/>
      <c r="P54" s="16"/>
      <c r="Q54" s="16"/>
      <c r="R54" s="15">
        <f t="shared" si="7"/>
        <v>180000</v>
      </c>
      <c r="S54" s="13">
        <v>158853.68</v>
      </c>
      <c r="T54" s="17">
        <f t="shared" si="8"/>
        <v>0.88252044444444444</v>
      </c>
      <c r="U54" s="18">
        <v>97041.18</v>
      </c>
      <c r="V54" s="17">
        <f t="shared" si="9"/>
        <v>0.53911766666666661</v>
      </c>
      <c r="W54" s="14">
        <v>97041.18</v>
      </c>
      <c r="X54" s="17">
        <f t="shared" si="10"/>
        <v>0.53911766666666661</v>
      </c>
      <c r="Y54" s="1"/>
      <c r="Z54" s="1"/>
      <c r="AA54" s="1"/>
    </row>
    <row r="55" spans="1:27" ht="54" x14ac:dyDescent="0.2">
      <c r="A55" s="10" t="s">
        <v>84</v>
      </c>
      <c r="B55" s="11" t="s">
        <v>85</v>
      </c>
      <c r="C55" s="11" t="s">
        <v>106</v>
      </c>
      <c r="D55" s="11" t="s">
        <v>107</v>
      </c>
      <c r="E55" s="11" t="s">
        <v>49</v>
      </c>
      <c r="F55" s="11" t="s">
        <v>108</v>
      </c>
      <c r="G55" s="11" t="s">
        <v>51</v>
      </c>
      <c r="H55" s="11" t="s">
        <v>88</v>
      </c>
      <c r="I55" s="11" t="s">
        <v>89</v>
      </c>
      <c r="J55" s="12">
        <v>3</v>
      </c>
      <c r="K55" s="23">
        <f>27694385-K56</f>
        <v>18636785</v>
      </c>
      <c r="L55" s="13">
        <f>11358106.65-L56</f>
        <v>6085317</v>
      </c>
      <c r="M55" s="13">
        <f>184904.95-M56</f>
        <v>109000.00000000001</v>
      </c>
      <c r="N55" s="36">
        <f t="shared" si="6"/>
        <v>24613102</v>
      </c>
      <c r="O55" s="37"/>
      <c r="P55" s="37"/>
      <c r="Q55" s="37"/>
      <c r="R55" s="36">
        <f t="shared" si="7"/>
        <v>24613102</v>
      </c>
      <c r="S55" s="13">
        <f>35809402.36-S56</f>
        <v>22397368.66</v>
      </c>
      <c r="T55" s="38">
        <f t="shared" si="8"/>
        <v>0.90997748516217092</v>
      </c>
      <c r="U55" s="18">
        <f>22973017.7-U56</f>
        <v>13529092.139999999</v>
      </c>
      <c r="V55" s="38">
        <f t="shared" si="9"/>
        <v>0.54967033980519797</v>
      </c>
      <c r="W55" s="13">
        <f>22666083.15-W56</f>
        <v>13222157.589999998</v>
      </c>
      <c r="X55" s="38">
        <f t="shared" si="10"/>
        <v>0.53719996731821928</v>
      </c>
      <c r="Y55" s="1"/>
      <c r="Z55" s="1"/>
      <c r="AA55" s="1"/>
    </row>
    <row r="56" spans="1:27" ht="54" x14ac:dyDescent="0.2">
      <c r="A56" s="10" t="s">
        <v>84</v>
      </c>
      <c r="B56" s="24" t="s">
        <v>85</v>
      </c>
      <c r="C56" s="24" t="s">
        <v>106</v>
      </c>
      <c r="D56" s="24" t="s">
        <v>107</v>
      </c>
      <c r="E56" s="11" t="s">
        <v>49</v>
      </c>
      <c r="F56" s="11" t="s">
        <v>108</v>
      </c>
      <c r="G56" s="24" t="s">
        <v>51</v>
      </c>
      <c r="H56" s="24" t="s">
        <v>88</v>
      </c>
      <c r="I56" s="11" t="s">
        <v>89</v>
      </c>
      <c r="J56" s="33">
        <v>4</v>
      </c>
      <c r="K56" s="23">
        <f>4997500+4060100</f>
        <v>9057600</v>
      </c>
      <c r="L56" s="14">
        <f>1423904.95+3848884.7</f>
        <v>5272789.6500000004</v>
      </c>
      <c r="M56" s="13">
        <f>75904.95</f>
        <v>75904.95</v>
      </c>
      <c r="N56" s="15">
        <f t="shared" si="6"/>
        <v>14254484.700000001</v>
      </c>
      <c r="O56" s="16"/>
      <c r="P56" s="16"/>
      <c r="Q56" s="16"/>
      <c r="R56" s="15">
        <f t="shared" si="7"/>
        <v>14254484.700000001</v>
      </c>
      <c r="S56" s="13">
        <f>3331666.64+2339833.36+1753884.7+7450+5979199</f>
        <v>13412033.699999999</v>
      </c>
      <c r="T56" s="17">
        <f t="shared" si="8"/>
        <v>0.94089923152395671</v>
      </c>
      <c r="U56" s="35">
        <f>573646.04+1129745.83+1753884.69+7450+5979199</f>
        <v>9443925.5600000005</v>
      </c>
      <c r="V56" s="17">
        <f t="shared" si="9"/>
        <v>0.6625231117614514</v>
      </c>
      <c r="W56" s="14">
        <f>573646.04+1129745.83+1753884.69+7450+5979199</f>
        <v>9443925.5600000005</v>
      </c>
      <c r="X56" s="17">
        <f t="shared" si="10"/>
        <v>0.6625231117614514</v>
      </c>
      <c r="Y56" s="1"/>
      <c r="Z56" s="1"/>
      <c r="AA56" s="1"/>
    </row>
    <row r="57" spans="1:27" ht="54" x14ac:dyDescent="0.2">
      <c r="A57" s="10" t="s">
        <v>84</v>
      </c>
      <c r="B57" s="24" t="s">
        <v>85</v>
      </c>
      <c r="C57" s="24" t="s">
        <v>106</v>
      </c>
      <c r="D57" s="24" t="s">
        <v>109</v>
      </c>
      <c r="E57" s="11" t="s">
        <v>59</v>
      </c>
      <c r="F57" s="24" t="s">
        <v>110</v>
      </c>
      <c r="G57" s="24" t="s">
        <v>51</v>
      </c>
      <c r="H57" s="24" t="s">
        <v>88</v>
      </c>
      <c r="I57" s="11" t="s">
        <v>89</v>
      </c>
      <c r="J57" s="12">
        <v>3</v>
      </c>
      <c r="K57" s="23">
        <f>11991900-K58</f>
        <v>11200000</v>
      </c>
      <c r="L57" s="14">
        <v>48707.24</v>
      </c>
      <c r="M57" s="14">
        <f>4867668.24-M58</f>
        <v>4193668.24</v>
      </c>
      <c r="N57" s="15">
        <f t="shared" si="6"/>
        <v>7055039</v>
      </c>
      <c r="O57" s="16"/>
      <c r="P57" s="16"/>
      <c r="Q57" s="16"/>
      <c r="R57" s="15">
        <f t="shared" si="7"/>
        <v>7055039</v>
      </c>
      <c r="S57" s="13">
        <v>6990166.1200000001</v>
      </c>
      <c r="T57" s="17">
        <f t="shared" si="8"/>
        <v>0.99080474537419283</v>
      </c>
      <c r="U57" s="18">
        <v>5816800.5</v>
      </c>
      <c r="V57" s="17">
        <f t="shared" si="9"/>
        <v>0.82448878028881201</v>
      </c>
      <c r="W57" s="14">
        <v>5812022.75</v>
      </c>
      <c r="X57" s="17">
        <f t="shared" si="10"/>
        <v>0.82381156929111232</v>
      </c>
      <c r="Y57" s="1"/>
      <c r="Z57" s="1"/>
      <c r="AA57" s="1"/>
    </row>
    <row r="58" spans="1:27" ht="54" x14ac:dyDescent="0.2">
      <c r="A58" s="10" t="s">
        <v>84</v>
      </c>
      <c r="B58" s="24" t="s">
        <v>85</v>
      </c>
      <c r="C58" s="24" t="s">
        <v>106</v>
      </c>
      <c r="D58" s="24" t="s">
        <v>109</v>
      </c>
      <c r="E58" s="11" t="s">
        <v>59</v>
      </c>
      <c r="F58" s="24" t="s">
        <v>110</v>
      </c>
      <c r="G58" s="24" t="s">
        <v>51</v>
      </c>
      <c r="H58" s="24" t="s">
        <v>88</v>
      </c>
      <c r="I58" s="11" t="s">
        <v>89</v>
      </c>
      <c r="J58" s="33">
        <v>4</v>
      </c>
      <c r="K58" s="23">
        <f>100000+691900</f>
        <v>791900</v>
      </c>
      <c r="L58" s="14">
        <v>0</v>
      </c>
      <c r="M58" s="14">
        <v>674000</v>
      </c>
      <c r="N58" s="15">
        <f t="shared" si="6"/>
        <v>117900</v>
      </c>
      <c r="O58" s="16"/>
      <c r="P58" s="16"/>
      <c r="Q58" s="16"/>
      <c r="R58" s="15">
        <f t="shared" si="7"/>
        <v>117900</v>
      </c>
      <c r="S58" s="13">
        <v>0</v>
      </c>
      <c r="T58" s="17">
        <f t="shared" si="8"/>
        <v>0</v>
      </c>
      <c r="U58" s="35">
        <v>0</v>
      </c>
      <c r="V58" s="17">
        <f t="shared" si="9"/>
        <v>0</v>
      </c>
      <c r="W58" s="14">
        <v>0</v>
      </c>
      <c r="X58" s="17">
        <f t="shared" si="10"/>
        <v>0</v>
      </c>
      <c r="Y58" s="1"/>
      <c r="Z58" s="1"/>
      <c r="AA58" s="1"/>
    </row>
    <row r="59" spans="1:27" ht="45" x14ac:dyDescent="0.2">
      <c r="A59" s="10" t="s">
        <v>84</v>
      </c>
      <c r="B59" s="24" t="s">
        <v>85</v>
      </c>
      <c r="C59" s="24" t="s">
        <v>69</v>
      </c>
      <c r="D59" s="24" t="s">
        <v>70</v>
      </c>
      <c r="E59" s="11" t="s">
        <v>59</v>
      </c>
      <c r="F59" s="24" t="s">
        <v>111</v>
      </c>
      <c r="G59" s="24" t="s">
        <v>51</v>
      </c>
      <c r="H59" s="24" t="s">
        <v>88</v>
      </c>
      <c r="I59" s="11" t="s">
        <v>89</v>
      </c>
      <c r="J59" s="12">
        <v>3</v>
      </c>
      <c r="K59" s="23">
        <v>1255215</v>
      </c>
      <c r="L59" s="14">
        <v>488102.45</v>
      </c>
      <c r="M59" s="14">
        <v>444902.45</v>
      </c>
      <c r="N59" s="15">
        <f t="shared" si="6"/>
        <v>1298415</v>
      </c>
      <c r="O59" s="16"/>
      <c r="P59" s="16"/>
      <c r="Q59" s="16"/>
      <c r="R59" s="15">
        <f t="shared" si="7"/>
        <v>1298415</v>
      </c>
      <c r="S59" s="13">
        <v>1216956.1000000001</v>
      </c>
      <c r="T59" s="17">
        <f t="shared" si="8"/>
        <v>0.93726281658791688</v>
      </c>
      <c r="U59" s="18">
        <v>677691.33</v>
      </c>
      <c r="V59" s="17">
        <f t="shared" si="9"/>
        <v>0.52193738519656652</v>
      </c>
      <c r="W59" s="14">
        <v>673963.03</v>
      </c>
      <c r="X59" s="17">
        <f t="shared" si="10"/>
        <v>0.51906596119114456</v>
      </c>
      <c r="Y59" s="1"/>
      <c r="Z59" s="1"/>
      <c r="AA59" s="1"/>
    </row>
    <row r="60" spans="1:27" ht="45" x14ac:dyDescent="0.2">
      <c r="A60" s="10" t="s">
        <v>84</v>
      </c>
      <c r="B60" s="24" t="s">
        <v>85</v>
      </c>
      <c r="C60" s="24" t="s">
        <v>69</v>
      </c>
      <c r="D60" s="24" t="s">
        <v>70</v>
      </c>
      <c r="E60" s="11" t="s">
        <v>59</v>
      </c>
      <c r="F60" s="24" t="s">
        <v>111</v>
      </c>
      <c r="G60" s="24" t="s">
        <v>51</v>
      </c>
      <c r="H60" s="24" t="s">
        <v>122</v>
      </c>
      <c r="I60" s="11" t="s">
        <v>89</v>
      </c>
      <c r="J60" s="12">
        <v>3</v>
      </c>
      <c r="K60" s="23">
        <v>0</v>
      </c>
      <c r="L60" s="14">
        <v>250296</v>
      </c>
      <c r="M60" s="14">
        <v>0</v>
      </c>
      <c r="N60" s="15">
        <f t="shared" si="6"/>
        <v>250296</v>
      </c>
      <c r="O60" s="16"/>
      <c r="P60" s="16"/>
      <c r="Q60" s="16"/>
      <c r="R60" s="15">
        <f t="shared" si="7"/>
        <v>250296</v>
      </c>
      <c r="S60" s="13">
        <v>223324</v>
      </c>
      <c r="T60" s="17">
        <f t="shared" si="8"/>
        <v>0.89223958832742034</v>
      </c>
      <c r="U60" s="18">
        <v>6180</v>
      </c>
      <c r="V60" s="17">
        <f t="shared" si="9"/>
        <v>2.4690766132898646E-2</v>
      </c>
      <c r="W60" s="14">
        <v>0</v>
      </c>
      <c r="X60" s="17">
        <f t="shared" si="10"/>
        <v>0</v>
      </c>
      <c r="Y60" s="1"/>
      <c r="Z60" s="1"/>
      <c r="AA60" s="1"/>
    </row>
    <row r="61" spans="1:27" ht="45" x14ac:dyDescent="0.2">
      <c r="A61" s="10" t="s">
        <v>84</v>
      </c>
      <c r="B61" s="24" t="s">
        <v>85</v>
      </c>
      <c r="C61" s="24" t="s">
        <v>69</v>
      </c>
      <c r="D61" s="24" t="s">
        <v>112</v>
      </c>
      <c r="E61" s="11" t="s">
        <v>59</v>
      </c>
      <c r="F61" s="24" t="s">
        <v>73</v>
      </c>
      <c r="G61" s="24" t="s">
        <v>51</v>
      </c>
      <c r="H61" s="24" t="s">
        <v>113</v>
      </c>
      <c r="I61" s="24" t="s">
        <v>114</v>
      </c>
      <c r="J61" s="40">
        <v>3</v>
      </c>
      <c r="K61" s="23">
        <v>1175000</v>
      </c>
      <c r="L61" s="14">
        <v>186760</v>
      </c>
      <c r="M61" s="14">
        <v>186760</v>
      </c>
      <c r="N61" s="15">
        <f t="shared" si="6"/>
        <v>1175000</v>
      </c>
      <c r="O61" s="16"/>
      <c r="P61" s="16"/>
      <c r="Q61" s="16"/>
      <c r="R61" s="15">
        <f t="shared" si="7"/>
        <v>1175000</v>
      </c>
      <c r="S61" s="13">
        <v>884295</v>
      </c>
      <c r="T61" s="17">
        <f t="shared" si="8"/>
        <v>0.75259148936170217</v>
      </c>
      <c r="U61" s="18">
        <v>678478</v>
      </c>
      <c r="V61" s="17">
        <f t="shared" si="9"/>
        <v>0.57742808510638299</v>
      </c>
      <c r="W61" s="14">
        <v>663555.23</v>
      </c>
      <c r="X61" s="17">
        <f t="shared" si="10"/>
        <v>0.56472785531914893</v>
      </c>
      <c r="Y61" s="1"/>
      <c r="Z61" s="1"/>
      <c r="AA61" s="1"/>
    </row>
    <row r="62" spans="1:27" ht="45" x14ac:dyDescent="0.2">
      <c r="A62" s="10" t="s">
        <v>84</v>
      </c>
      <c r="B62" s="24" t="s">
        <v>85</v>
      </c>
      <c r="C62" s="24" t="s">
        <v>69</v>
      </c>
      <c r="D62" s="24" t="s">
        <v>112</v>
      </c>
      <c r="E62" s="11" t="s">
        <v>59</v>
      </c>
      <c r="F62" s="24" t="s">
        <v>73</v>
      </c>
      <c r="G62" s="24" t="s">
        <v>51</v>
      </c>
      <c r="H62" s="24" t="s">
        <v>123</v>
      </c>
      <c r="I62" s="24" t="s">
        <v>114</v>
      </c>
      <c r="J62" s="33">
        <v>4</v>
      </c>
      <c r="K62" s="23">
        <v>0</v>
      </c>
      <c r="L62" s="14">
        <v>6000</v>
      </c>
      <c r="M62" s="14">
        <v>0</v>
      </c>
      <c r="N62" s="15">
        <f t="shared" si="6"/>
        <v>6000</v>
      </c>
      <c r="O62" s="16"/>
      <c r="P62" s="16"/>
      <c r="Q62" s="16"/>
      <c r="R62" s="15">
        <f t="shared" si="7"/>
        <v>6000</v>
      </c>
      <c r="S62" s="13">
        <v>0</v>
      </c>
      <c r="T62" s="17">
        <f t="shared" si="8"/>
        <v>0</v>
      </c>
      <c r="U62" s="35">
        <v>0</v>
      </c>
      <c r="V62" s="17">
        <f t="shared" si="9"/>
        <v>0</v>
      </c>
      <c r="W62" s="14">
        <v>0</v>
      </c>
      <c r="X62" s="17">
        <f t="shared" si="10"/>
        <v>0</v>
      </c>
      <c r="Y62" s="1"/>
      <c r="Z62" s="1"/>
      <c r="AA62" s="1"/>
    </row>
    <row r="63" spans="1:27" ht="14.25" x14ac:dyDescent="0.2">
      <c r="A63" s="80" t="s">
        <v>115</v>
      </c>
      <c r="B63" s="64"/>
      <c r="C63" s="64"/>
      <c r="D63" s="64"/>
      <c r="E63" s="64"/>
      <c r="F63" s="64"/>
      <c r="G63" s="64"/>
      <c r="H63" s="64"/>
      <c r="I63" s="64"/>
      <c r="J63" s="65"/>
      <c r="K63" s="25">
        <f t="shared" ref="K63:S63" si="11">SUM(K30:K62)</f>
        <v>268375000</v>
      </c>
      <c r="L63" s="25">
        <f t="shared" si="11"/>
        <v>105708343.72000001</v>
      </c>
      <c r="M63" s="25">
        <f t="shared" si="11"/>
        <v>61251506.70000001</v>
      </c>
      <c r="N63" s="25">
        <f t="shared" si="11"/>
        <v>312831837.01999998</v>
      </c>
      <c r="O63" s="25">
        <f t="shared" si="11"/>
        <v>0</v>
      </c>
      <c r="P63" s="25">
        <f t="shared" si="11"/>
        <v>0</v>
      </c>
      <c r="Q63" s="25">
        <f t="shared" si="11"/>
        <v>0</v>
      </c>
      <c r="R63" s="25">
        <f t="shared" si="11"/>
        <v>312831837.01999998</v>
      </c>
      <c r="S63" s="25">
        <f t="shared" si="11"/>
        <v>239927627.10999992</v>
      </c>
      <c r="T63" s="26">
        <f t="shared" si="8"/>
        <v>0.76695399482201954</v>
      </c>
      <c r="U63" s="25">
        <f>SUM(U30:U62)</f>
        <v>138745375.89000002</v>
      </c>
      <c r="V63" s="26">
        <f t="shared" si="9"/>
        <v>0.44351424462315753</v>
      </c>
      <c r="W63" s="25">
        <f>SUM(W30:W62)</f>
        <v>137781726.78999999</v>
      </c>
      <c r="X63" s="26">
        <f t="shared" si="10"/>
        <v>0.44043383852005868</v>
      </c>
      <c r="Y63" s="1"/>
      <c r="Z63" s="1"/>
      <c r="AA63" s="1"/>
    </row>
    <row r="64" spans="1:27" ht="14.25" x14ac:dyDescent="0.2">
      <c r="A64" s="81" t="s">
        <v>116</v>
      </c>
      <c r="B64" s="64"/>
      <c r="C64" s="64"/>
      <c r="D64" s="64"/>
      <c r="E64" s="64"/>
      <c r="F64" s="64"/>
      <c r="G64" s="64"/>
      <c r="H64" s="64"/>
      <c r="I64" s="64"/>
      <c r="J64" s="65"/>
      <c r="K64" s="41">
        <f t="shared" ref="K64:S64" si="12">SUM(K27+K63)</f>
        <v>1368008000</v>
      </c>
      <c r="L64" s="41">
        <f t="shared" si="12"/>
        <v>166774932.16000003</v>
      </c>
      <c r="M64" s="41">
        <f t="shared" si="12"/>
        <v>122318095.14000002</v>
      </c>
      <c r="N64" s="54">
        <f t="shared" si="12"/>
        <v>1412464837.02</v>
      </c>
      <c r="O64" s="54">
        <f t="shared" si="12"/>
        <v>0</v>
      </c>
      <c r="P64" s="54">
        <f t="shared" si="12"/>
        <v>0</v>
      </c>
      <c r="Q64" s="54">
        <f t="shared" si="12"/>
        <v>-63831080.439999998</v>
      </c>
      <c r="R64" s="54">
        <f t="shared" si="12"/>
        <v>1348633756.5799999</v>
      </c>
      <c r="S64" s="54">
        <f t="shared" si="12"/>
        <v>1058136216.8199998</v>
      </c>
      <c r="T64" s="55">
        <f t="shared" si="8"/>
        <v>0.78459864411471303</v>
      </c>
      <c r="U64" s="54">
        <f>SUM(U27+U63)</f>
        <v>918397485.06999993</v>
      </c>
      <c r="V64" s="55">
        <f t="shared" si="9"/>
        <v>0.68098361070166591</v>
      </c>
      <c r="W64" s="54">
        <f>SUM(W27+W63)</f>
        <v>837105179.21999979</v>
      </c>
      <c r="X64" s="55">
        <f t="shared" si="10"/>
        <v>0.6207060850551559</v>
      </c>
      <c r="Y64" s="20"/>
      <c r="Z64" s="1"/>
      <c r="AA64" s="1"/>
    </row>
    <row r="65" spans="1:27" ht="14.25" x14ac:dyDescent="0.2">
      <c r="A65" s="42" t="s">
        <v>117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56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1"/>
      <c r="Z65" s="1"/>
      <c r="AA65" s="1"/>
    </row>
    <row r="66" spans="1:27" ht="14.25" x14ac:dyDescent="0.2">
      <c r="A66" s="42" t="s">
        <v>118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56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1"/>
      <c r="Z66" s="44"/>
      <c r="AA66" s="1"/>
    </row>
    <row r="67" spans="1:27" ht="14.25" x14ac:dyDescent="0.2">
      <c r="A67" s="82" t="s">
        <v>119</v>
      </c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5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"/>
      <c r="Z67" s="44"/>
      <c r="AA67" s="1"/>
    </row>
    <row r="68" spans="1:27" ht="14.25" x14ac:dyDescent="0.2">
      <c r="A68" s="45" t="s">
        <v>120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2"/>
      <c r="O68" s="2"/>
      <c r="P68" s="2"/>
      <c r="Q68" s="1"/>
      <c r="R68" s="1"/>
      <c r="S68" s="1"/>
      <c r="T68" s="1"/>
      <c r="U68" s="1"/>
      <c r="V68" s="1"/>
      <c r="W68" s="1"/>
      <c r="X68" s="53"/>
      <c r="Y68" s="1"/>
      <c r="Z68" s="46"/>
      <c r="AA68" s="1"/>
    </row>
    <row r="69" spans="1:27" ht="14.25" x14ac:dyDescent="0.2">
      <c r="A69" s="2"/>
      <c r="B69" s="2"/>
      <c r="C69" s="2"/>
      <c r="D69" s="2"/>
      <c r="E69" s="2"/>
      <c r="F69" s="2"/>
      <c r="G69" s="2"/>
      <c r="H69" s="2"/>
      <c r="I69" s="1"/>
      <c r="J69" s="1"/>
      <c r="K69" s="1"/>
      <c r="L69" s="1"/>
      <c r="M69" s="1"/>
      <c r="N69" s="2"/>
      <c r="O69" s="2"/>
      <c r="P69" s="2"/>
      <c r="Q69" s="1"/>
      <c r="R69" s="1"/>
      <c r="S69" s="1"/>
      <c r="T69" s="1"/>
      <c r="U69" s="1"/>
      <c r="V69" s="1"/>
      <c r="W69" s="1"/>
      <c r="X69" s="53"/>
      <c r="Y69" s="1"/>
      <c r="Z69" s="46"/>
      <c r="AA69" s="1"/>
    </row>
    <row r="70" spans="1:27" ht="14.2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51"/>
      <c r="L70" s="51"/>
      <c r="M70" s="51"/>
      <c r="N70" s="51"/>
      <c r="O70" s="51"/>
      <c r="P70" s="51"/>
      <c r="Q70" s="1"/>
      <c r="R70" s="1"/>
      <c r="S70" s="1"/>
      <c r="T70" s="1"/>
      <c r="U70" s="47"/>
      <c r="V70" s="1"/>
      <c r="W70" s="44"/>
      <c r="X70" s="53"/>
      <c r="Y70" s="20"/>
      <c r="Z70" s="1"/>
      <c r="AA70" s="1"/>
    </row>
    <row r="71" spans="1:27" ht="14.2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51"/>
      <c r="L71" s="51"/>
      <c r="M71" s="51"/>
      <c r="N71" s="51"/>
      <c r="O71" s="51"/>
      <c r="P71" s="51"/>
      <c r="Q71" s="1"/>
      <c r="R71" s="1"/>
      <c r="S71" s="1"/>
      <c r="T71" s="1"/>
      <c r="U71" s="44"/>
      <c r="V71" s="1"/>
      <c r="W71" s="1"/>
      <c r="X71" s="53"/>
      <c r="Y71" s="20"/>
      <c r="Z71" s="1"/>
      <c r="AA71" s="1"/>
    </row>
    <row r="72" spans="1:27" ht="14.2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51"/>
      <c r="L72" s="51"/>
      <c r="M72" s="51"/>
      <c r="N72" s="51"/>
      <c r="O72" s="51"/>
      <c r="P72" s="51"/>
      <c r="Q72" s="1"/>
      <c r="R72" s="1"/>
      <c r="S72" s="1"/>
      <c r="T72" s="1"/>
      <c r="U72" s="46"/>
      <c r="V72" s="1"/>
      <c r="W72" s="44"/>
      <c r="X72" s="53"/>
      <c r="Y72" s="20"/>
      <c r="Z72" s="1"/>
      <c r="AA72" s="1"/>
    </row>
    <row r="73" spans="1:27" ht="14.2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51"/>
      <c r="L73" s="51"/>
      <c r="M73" s="51"/>
      <c r="N73" s="51"/>
      <c r="O73" s="51"/>
      <c r="P73" s="51"/>
      <c r="Q73" s="1"/>
      <c r="R73" s="1"/>
      <c r="S73" s="1"/>
      <c r="T73" s="1"/>
      <c r="U73" s="46"/>
      <c r="V73" s="1"/>
      <c r="W73" s="1"/>
      <c r="X73" s="46"/>
      <c r="Y73" s="20"/>
      <c r="Z73" s="1"/>
      <c r="AA73" s="1"/>
    </row>
    <row r="74" spans="1:27" ht="14.2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51"/>
      <c r="L74" s="2"/>
      <c r="M74" s="2"/>
      <c r="N74" s="2"/>
      <c r="O74" s="2"/>
      <c r="P74" s="2"/>
      <c r="Q74" s="1"/>
      <c r="R74" s="1"/>
      <c r="S74" s="1"/>
      <c r="T74" s="1"/>
      <c r="U74" s="46"/>
      <c r="V74" s="1"/>
      <c r="W74" s="1"/>
      <c r="X74" s="1"/>
      <c r="Y74" s="1"/>
      <c r="Z74" s="1"/>
      <c r="AA74" s="1"/>
    </row>
    <row r="75" spans="1:27" ht="14.2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51"/>
      <c r="L75" s="2"/>
      <c r="M75" s="2"/>
      <c r="N75" s="2"/>
      <c r="O75" s="2"/>
      <c r="P75" s="2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52"/>
      <c r="R76" s="1"/>
      <c r="S76" s="1"/>
      <c r="T76" s="52"/>
      <c r="U76" s="1"/>
      <c r="V76" s="46"/>
      <c r="W76" s="57"/>
      <c r="X76" s="1"/>
      <c r="Y76" s="46"/>
      <c r="Z76" s="1"/>
      <c r="AA76" s="1"/>
    </row>
    <row r="77" spans="1:27" ht="14.2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58"/>
      <c r="R77" s="59"/>
      <c r="S77" s="46"/>
      <c r="T77" s="60"/>
      <c r="U77" s="59"/>
      <c r="V77" s="46"/>
      <c r="W77" s="61"/>
      <c r="X77" s="1"/>
      <c r="Y77" s="46"/>
      <c r="Z77" s="1"/>
      <c r="AA77" s="1"/>
    </row>
    <row r="78" spans="1:27" ht="14.25" x14ac:dyDescent="0.2">
      <c r="A78" s="1"/>
      <c r="B78" s="20"/>
      <c r="C78" s="20"/>
      <c r="D78" s="20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58"/>
      <c r="R78" s="59"/>
      <c r="S78" s="46"/>
      <c r="T78" s="60"/>
      <c r="U78" s="59"/>
      <c r="V78" s="46"/>
      <c r="W78" s="61"/>
      <c r="X78" s="1"/>
      <c r="Y78" s="46"/>
      <c r="Z78" s="1"/>
      <c r="AA78" s="1"/>
    </row>
    <row r="79" spans="1:27" ht="14.2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58"/>
      <c r="R79" s="59"/>
      <c r="S79" s="46"/>
      <c r="T79" s="60"/>
      <c r="U79" s="59"/>
      <c r="V79" s="1"/>
      <c r="W79" s="61"/>
      <c r="X79" s="1"/>
      <c r="Y79" s="1"/>
      <c r="Z79" s="1"/>
      <c r="AA79" s="1"/>
    </row>
    <row r="80" spans="1:27" ht="14.2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83"/>
      <c r="L80" s="70"/>
      <c r="M80" s="70"/>
      <c r="N80" s="70"/>
      <c r="O80" s="1"/>
      <c r="P80" s="1"/>
      <c r="Q80" s="85"/>
      <c r="R80" s="70"/>
      <c r="S80" s="1"/>
      <c r="T80" s="86"/>
      <c r="U80" s="70"/>
      <c r="V80" s="1"/>
      <c r="W80" s="46"/>
      <c r="X80" s="1"/>
      <c r="Y80" s="1"/>
      <c r="Z80" s="1"/>
      <c r="AA80" s="1"/>
    </row>
    <row r="81" spans="1:27" ht="14.25" x14ac:dyDescent="0.2">
      <c r="A81" s="1"/>
      <c r="B81" s="1"/>
      <c r="C81" s="1"/>
      <c r="D81" s="1"/>
      <c r="E81" s="1"/>
      <c r="F81" s="83"/>
      <c r="G81" s="70"/>
      <c r="H81" s="70"/>
      <c r="I81" s="70"/>
      <c r="J81" s="1"/>
      <c r="K81" s="1"/>
      <c r="L81" s="1"/>
      <c r="M81" s="1"/>
      <c r="N81" s="1"/>
      <c r="O81" s="1"/>
      <c r="P81" s="1"/>
      <c r="Q81" s="1"/>
      <c r="R81" s="1"/>
      <c r="S81" s="1"/>
      <c r="T81" s="5"/>
      <c r="U81" s="46"/>
      <c r="V81" s="1"/>
      <c r="W81" s="1"/>
      <c r="X81" s="46"/>
      <c r="Y81" s="1"/>
      <c r="Z81" s="1"/>
      <c r="AA81" s="1"/>
    </row>
    <row r="82" spans="1:27" ht="14.2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62"/>
      <c r="U82" s="59"/>
      <c r="V82" s="1"/>
      <c r="W82" s="44"/>
      <c r="X82" s="46"/>
      <c r="Y82" s="46"/>
      <c r="Z82" s="1"/>
      <c r="AA82" s="1"/>
    </row>
    <row r="83" spans="1:27" ht="14.25" x14ac:dyDescent="0.2">
      <c r="A83" s="1"/>
      <c r="B83" s="1"/>
      <c r="C83" s="47"/>
      <c r="D83" s="48"/>
      <c r="E83" s="1"/>
      <c r="F83" s="47"/>
      <c r="G83" s="48"/>
      <c r="H83" s="1"/>
      <c r="I83" s="1"/>
      <c r="J83" s="1"/>
      <c r="K83" s="1"/>
      <c r="L83" s="47"/>
      <c r="M83" s="48"/>
      <c r="N83" s="50"/>
      <c r="O83" s="1"/>
      <c r="P83" s="1"/>
      <c r="Q83" s="1"/>
      <c r="R83" s="46"/>
      <c r="S83" s="1"/>
      <c r="T83" s="1"/>
      <c r="U83" s="1"/>
      <c r="V83" s="1"/>
      <c r="W83" s="1"/>
      <c r="X83" s="46"/>
      <c r="Y83" s="1"/>
      <c r="Z83" s="1"/>
      <c r="AA83" s="1"/>
    </row>
    <row r="84" spans="1:27" ht="14.25" x14ac:dyDescent="0.2">
      <c r="A84" s="1"/>
      <c r="B84" s="1"/>
      <c r="C84" s="47"/>
      <c r="D84" s="48"/>
      <c r="E84" s="1"/>
      <c r="F84" s="47"/>
      <c r="G84" s="48"/>
      <c r="H84" s="1"/>
      <c r="I84" s="1"/>
      <c r="J84" s="1"/>
      <c r="K84" s="1"/>
      <c r="L84" s="47"/>
      <c r="M84" s="48"/>
      <c r="N84" s="1"/>
      <c r="O84" s="1"/>
      <c r="P84" s="1"/>
      <c r="Q84" s="1"/>
      <c r="R84" s="46"/>
      <c r="S84" s="1"/>
      <c r="T84" s="1"/>
      <c r="U84" s="1"/>
      <c r="V84" s="1"/>
      <c r="W84" s="1"/>
      <c r="X84" s="46"/>
      <c r="Y84" s="46"/>
      <c r="Z84" s="1"/>
      <c r="AA84" s="1"/>
    </row>
    <row r="85" spans="1:27" ht="14.25" x14ac:dyDescent="0.2">
      <c r="A85" s="1"/>
      <c r="B85" s="1"/>
      <c r="C85" s="47"/>
      <c r="D85" s="49"/>
      <c r="E85" s="1"/>
      <c r="F85" s="47"/>
      <c r="G85" s="48"/>
      <c r="H85" s="1"/>
      <c r="I85" s="1"/>
      <c r="J85" s="1"/>
      <c r="K85" s="1"/>
      <c r="L85" s="1"/>
      <c r="M85" s="1"/>
      <c r="N85" s="1"/>
      <c r="O85" s="1"/>
      <c r="P85" s="1"/>
      <c r="Q85" s="1"/>
      <c r="R85" s="46"/>
      <c r="S85" s="1"/>
      <c r="T85" s="1"/>
      <c r="U85" s="50"/>
      <c r="V85" s="1"/>
      <c r="W85" s="46"/>
      <c r="X85" s="46"/>
      <c r="Y85" s="1"/>
      <c r="Z85" s="1"/>
      <c r="AA85" s="1"/>
    </row>
    <row r="86" spans="1:27" ht="14.2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50"/>
      <c r="N86" s="1"/>
      <c r="O86" s="1"/>
      <c r="P86" s="1"/>
      <c r="Q86" s="1"/>
      <c r="R86" s="1"/>
      <c r="S86" s="1"/>
      <c r="T86" s="1"/>
      <c r="U86" s="50"/>
      <c r="V86" s="46"/>
      <c r="W86" s="46"/>
      <c r="X86" s="46"/>
      <c r="Y86" s="1"/>
      <c r="Z86" s="1"/>
      <c r="AA86" s="1"/>
    </row>
    <row r="87" spans="1:27" ht="14.2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50"/>
      <c r="V87" s="46"/>
      <c r="W87" s="46"/>
      <c r="X87" s="46"/>
      <c r="Y87" s="1"/>
      <c r="Z87" s="1"/>
      <c r="AA87" s="1"/>
    </row>
    <row r="88" spans="1:27" ht="14.2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47"/>
      <c r="M89" s="48"/>
      <c r="N89" s="50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47"/>
      <c r="M90" s="48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x14ac:dyDescent="0.2">
      <c r="A91" s="1"/>
      <c r="B91" s="1"/>
      <c r="C91" s="1"/>
      <c r="D91" s="46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50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47"/>
      <c r="M95" s="48"/>
      <c r="N95" s="50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47"/>
      <c r="M96" s="48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46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50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50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"/>
      <c r="V102" s="1"/>
      <c r="W102" s="1"/>
      <c r="X102" s="1"/>
      <c r="Y102" s="1"/>
      <c r="Z102" s="1"/>
      <c r="AA102" s="1"/>
    </row>
    <row r="103" spans="1:27" ht="14.2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"/>
      <c r="V103" s="1"/>
      <c r="W103" s="1"/>
      <c r="X103" s="1"/>
      <c r="Y103" s="1"/>
      <c r="Z103" s="1"/>
      <c r="AA103" s="1"/>
    </row>
    <row r="104" spans="1:27" ht="14.2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2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2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.2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.2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.2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4.2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4.2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4.2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4.2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4.25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4.25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14.25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14.25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14.25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</sheetData>
  <mergeCells count="32">
    <mergeCell ref="F81:I81"/>
    <mergeCell ref="A11:J11"/>
    <mergeCell ref="A12:B12"/>
    <mergeCell ref="C12:C13"/>
    <mergeCell ref="D12:D13"/>
    <mergeCell ref="E12:F12"/>
    <mergeCell ref="G12:G13"/>
    <mergeCell ref="H12:I12"/>
    <mergeCell ref="T80:U80"/>
    <mergeCell ref="A8:F8"/>
    <mergeCell ref="A9:X9"/>
    <mergeCell ref="K11:K12"/>
    <mergeCell ref="L11:M11"/>
    <mergeCell ref="N11:N12"/>
    <mergeCell ref="O11:O12"/>
    <mergeCell ref="S11:X11"/>
    <mergeCell ref="J12:J13"/>
    <mergeCell ref="A27:J27"/>
    <mergeCell ref="A63:J63"/>
    <mergeCell ref="A64:J64"/>
    <mergeCell ref="A67:M67"/>
    <mergeCell ref="K80:N80"/>
    <mergeCell ref="A6:F6"/>
    <mergeCell ref="A7:F7"/>
    <mergeCell ref="P11:Q11"/>
    <mergeCell ref="R11:R12"/>
    <mergeCell ref="Q80:R80"/>
    <mergeCell ref="A1:F1"/>
    <mergeCell ref="A2:F2"/>
    <mergeCell ref="A3:F3"/>
    <mergeCell ref="A4:F4"/>
    <mergeCell ref="A5:F5"/>
  </mergeCells>
  <printOptions horizontalCentered="1"/>
  <pageMargins left="0.7" right="0.7" top="0.75" bottom="0.75" header="0" footer="0"/>
  <pageSetup paperSize="9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Administrador</cp:lastModifiedBy>
  <dcterms:modified xsi:type="dcterms:W3CDTF">2025-10-21T01:28:34Z</dcterms:modified>
</cp:coreProperties>
</file>