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95" windowWidth="23655" windowHeight="9405"/>
  </bookViews>
  <sheets>
    <sheet name="SETEMBRO 2023" sheetId="18" r:id="rId1"/>
  </sheets>
  <calcPr calcId="124519"/>
  <extLst>
    <ext uri="GoogleSheetsCustomDataVersion2">
      <go:sheetsCustomData xmlns:go="http://customooxmlschemas.google.com/" r:id="rId25" roundtripDataChecksum="qfRG1ZIxDRFC6P5pq0chr5Gf0jXMEzGPQHABRzgB0Dk="/>
    </ext>
  </extLst>
</workbook>
</file>

<file path=xl/calcChain.xml><?xml version="1.0" encoding="utf-8"?>
<calcChain xmlns="http://schemas.openxmlformats.org/spreadsheetml/2006/main">
  <c r="Q84" i="18"/>
  <c r="P84"/>
  <c r="O84"/>
  <c r="R83"/>
  <c r="N83"/>
  <c r="N82"/>
  <c r="R82" s="1"/>
  <c r="N81"/>
  <c r="R81" s="1"/>
  <c r="U80"/>
  <c r="M80"/>
  <c r="M79" s="1"/>
  <c r="K80"/>
  <c r="N80" s="1"/>
  <c r="R80" s="1"/>
  <c r="W79"/>
  <c r="U79"/>
  <c r="S79"/>
  <c r="W78"/>
  <c r="U78"/>
  <c r="U77" s="1"/>
  <c r="S78"/>
  <c r="N78"/>
  <c r="R78" s="1"/>
  <c r="W77"/>
  <c r="S77"/>
  <c r="N77"/>
  <c r="R77" s="1"/>
  <c r="L77"/>
  <c r="W76"/>
  <c r="W75" s="1"/>
  <c r="U76"/>
  <c r="S76"/>
  <c r="S75" s="1"/>
  <c r="M76"/>
  <c r="L76"/>
  <c r="L75" s="1"/>
  <c r="K76"/>
  <c r="U75"/>
  <c r="M75"/>
  <c r="K75"/>
  <c r="N75" s="1"/>
  <c r="R75" s="1"/>
  <c r="N74"/>
  <c r="R74" s="1"/>
  <c r="N73"/>
  <c r="R73" s="1"/>
  <c r="T73" s="1"/>
  <c r="N72"/>
  <c r="R72" s="1"/>
  <c r="X72" s="1"/>
  <c r="N71"/>
  <c r="R71" s="1"/>
  <c r="N70"/>
  <c r="R70" s="1"/>
  <c r="W69"/>
  <c r="U69"/>
  <c r="U68" s="1"/>
  <c r="S69"/>
  <c r="R69"/>
  <c r="N69"/>
  <c r="W68"/>
  <c r="S68"/>
  <c r="L68"/>
  <c r="N68" s="1"/>
  <c r="R68" s="1"/>
  <c r="W67"/>
  <c r="U67"/>
  <c r="U66" s="1"/>
  <c r="S67"/>
  <c r="K67"/>
  <c r="N67" s="1"/>
  <c r="R67" s="1"/>
  <c r="W66"/>
  <c r="S66"/>
  <c r="N65"/>
  <c r="R65" s="1"/>
  <c r="R64"/>
  <c r="T64" s="1"/>
  <c r="N64"/>
  <c r="N63"/>
  <c r="R63" s="1"/>
  <c r="X63" s="1"/>
  <c r="W62"/>
  <c r="R62"/>
  <c r="N62"/>
  <c r="R61"/>
  <c r="N61"/>
  <c r="R60"/>
  <c r="V60" s="1"/>
  <c r="N60"/>
  <c r="V59"/>
  <c r="R59"/>
  <c r="X59" s="1"/>
  <c r="N59"/>
  <c r="X58"/>
  <c r="N58"/>
  <c r="R58" s="1"/>
  <c r="T58" s="1"/>
  <c r="N57"/>
  <c r="R57" s="1"/>
  <c r="X57" s="1"/>
  <c r="N56"/>
  <c r="R56" s="1"/>
  <c r="N55"/>
  <c r="R55" s="1"/>
  <c r="N54"/>
  <c r="R54" s="1"/>
  <c r="N53"/>
  <c r="R53" s="1"/>
  <c r="W52"/>
  <c r="W51" s="1"/>
  <c r="W84" s="1"/>
  <c r="U52"/>
  <c r="U51" s="1"/>
  <c r="S52"/>
  <c r="L52"/>
  <c r="N52" s="1"/>
  <c r="R52" s="1"/>
  <c r="S51"/>
  <c r="L51"/>
  <c r="N51" s="1"/>
  <c r="R51" s="1"/>
  <c r="V51" s="1"/>
  <c r="W50"/>
  <c r="U50"/>
  <c r="S50"/>
  <c r="M50"/>
  <c r="L50"/>
  <c r="K50"/>
  <c r="W49"/>
  <c r="U49"/>
  <c r="S49"/>
  <c r="K49"/>
  <c r="R48"/>
  <c r="T48" s="1"/>
  <c r="N48"/>
  <c r="R47"/>
  <c r="X47" s="1"/>
  <c r="N47"/>
  <c r="V46"/>
  <c r="N46"/>
  <c r="R46" s="1"/>
  <c r="T46" s="1"/>
  <c r="N45"/>
  <c r="R45" s="1"/>
  <c r="R44"/>
  <c r="T44" s="1"/>
  <c r="N44"/>
  <c r="V43"/>
  <c r="R43"/>
  <c r="X43" s="1"/>
  <c r="N43"/>
  <c r="X42"/>
  <c r="N42"/>
  <c r="R42" s="1"/>
  <c r="T42" s="1"/>
  <c r="N41"/>
  <c r="R41" s="1"/>
  <c r="S40"/>
  <c r="R40"/>
  <c r="V40" s="1"/>
  <c r="N40"/>
  <c r="U39"/>
  <c r="S39"/>
  <c r="N39"/>
  <c r="R39" s="1"/>
  <c r="V39" s="1"/>
  <c r="N38"/>
  <c r="R38" s="1"/>
  <c r="V37"/>
  <c r="N37"/>
  <c r="R37" s="1"/>
  <c r="T37" s="1"/>
  <c r="R36"/>
  <c r="N36"/>
  <c r="R35"/>
  <c r="T35" s="1"/>
  <c r="N35"/>
  <c r="V34"/>
  <c r="R34"/>
  <c r="X34" s="1"/>
  <c r="N34"/>
  <c r="N33"/>
  <c r="P30"/>
  <c r="P85" s="1"/>
  <c r="O30"/>
  <c r="M30"/>
  <c r="N29"/>
  <c r="R29" s="1"/>
  <c r="V29" s="1"/>
  <c r="N28"/>
  <c r="R28" s="1"/>
  <c r="X28" s="1"/>
  <c r="R27"/>
  <c r="N27"/>
  <c r="W26"/>
  <c r="W25" s="1"/>
  <c r="U26"/>
  <c r="U25" s="1"/>
  <c r="S26"/>
  <c r="K26"/>
  <c r="N26" s="1"/>
  <c r="R26" s="1"/>
  <c r="V26" s="1"/>
  <c r="S25"/>
  <c r="Q25"/>
  <c r="Q30" s="1"/>
  <c r="Q85" s="1"/>
  <c r="L25"/>
  <c r="N24"/>
  <c r="R24" s="1"/>
  <c r="N23"/>
  <c r="R23" s="1"/>
  <c r="V23" s="1"/>
  <c r="U22"/>
  <c r="N22"/>
  <c r="R22" s="1"/>
  <c r="X22" s="1"/>
  <c r="W21"/>
  <c r="V21"/>
  <c r="N21"/>
  <c r="R21" s="1"/>
  <c r="N20"/>
  <c r="R20" s="1"/>
  <c r="X20" s="1"/>
  <c r="N19"/>
  <c r="R19" s="1"/>
  <c r="W18"/>
  <c r="N18"/>
  <c r="R18" s="1"/>
  <c r="N17"/>
  <c r="R17" s="1"/>
  <c r="X17" s="1"/>
  <c r="N16"/>
  <c r="R16" s="1"/>
  <c r="R15"/>
  <c r="V15" s="1"/>
  <c r="N15"/>
  <c r="N14"/>
  <c r="X38" l="1"/>
  <c r="T38"/>
  <c r="V38"/>
  <c r="X55"/>
  <c r="V55"/>
  <c r="T55"/>
  <c r="V24"/>
  <c r="T24"/>
  <c r="V82"/>
  <c r="T82"/>
  <c r="K25"/>
  <c r="N25" s="1"/>
  <c r="R25" s="1"/>
  <c r="T34"/>
  <c r="X37"/>
  <c r="T40"/>
  <c r="V42"/>
  <c r="T43"/>
  <c r="T59"/>
  <c r="K66"/>
  <c r="N66" s="1"/>
  <c r="R66" s="1"/>
  <c r="T72"/>
  <c r="S84"/>
  <c r="V47"/>
  <c r="K84"/>
  <c r="N50"/>
  <c r="R50" s="1"/>
  <c r="V50" s="1"/>
  <c r="V63"/>
  <c r="K79"/>
  <c r="T15"/>
  <c r="T47"/>
  <c r="T63"/>
  <c r="X18"/>
  <c r="T18"/>
  <c r="T19"/>
  <c r="V19"/>
  <c r="X19"/>
  <c r="L30"/>
  <c r="T27"/>
  <c r="V27"/>
  <c r="X27"/>
  <c r="X50"/>
  <c r="T54"/>
  <c r="V54"/>
  <c r="X54"/>
  <c r="T71"/>
  <c r="V71"/>
  <c r="X71"/>
  <c r="X21"/>
  <c r="T21"/>
  <c r="T22"/>
  <c r="V22"/>
  <c r="X29"/>
  <c r="T29"/>
  <c r="T41"/>
  <c r="V41"/>
  <c r="X41"/>
  <c r="X52"/>
  <c r="T52"/>
  <c r="V52"/>
  <c r="T53"/>
  <c r="V53"/>
  <c r="X53"/>
  <c r="V61"/>
  <c r="X61"/>
  <c r="T61"/>
  <c r="X69"/>
  <c r="T69"/>
  <c r="V69"/>
  <c r="T70"/>
  <c r="V70"/>
  <c r="X70"/>
  <c r="X75"/>
  <c r="T75"/>
  <c r="V75"/>
  <c r="X77"/>
  <c r="T77"/>
  <c r="V77"/>
  <c r="X81"/>
  <c r="T81"/>
  <c r="V81"/>
  <c r="T17"/>
  <c r="V17"/>
  <c r="X23"/>
  <c r="T23"/>
  <c r="S30"/>
  <c r="X26"/>
  <c r="T26"/>
  <c r="R33"/>
  <c r="T36"/>
  <c r="V36"/>
  <c r="X36"/>
  <c r="T45"/>
  <c r="V45"/>
  <c r="X45"/>
  <c r="V56"/>
  <c r="X56"/>
  <c r="T56"/>
  <c r="X68"/>
  <c r="T68"/>
  <c r="V68"/>
  <c r="T74"/>
  <c r="V74"/>
  <c r="X74"/>
  <c r="X78"/>
  <c r="T78"/>
  <c r="V78"/>
  <c r="W30"/>
  <c r="W85" s="1"/>
  <c r="T16"/>
  <c r="V16"/>
  <c r="X16"/>
  <c r="T20"/>
  <c r="V20"/>
  <c r="T28"/>
  <c r="V28"/>
  <c r="T65"/>
  <c r="V65"/>
  <c r="X65"/>
  <c r="T80"/>
  <c r="V80"/>
  <c r="X80"/>
  <c r="V18"/>
  <c r="U30"/>
  <c r="U84"/>
  <c r="V48"/>
  <c r="X48"/>
  <c r="T57"/>
  <c r="V57"/>
  <c r="T62"/>
  <c r="V62"/>
  <c r="X67"/>
  <c r="T67"/>
  <c r="V73"/>
  <c r="X73"/>
  <c r="N79"/>
  <c r="R79" s="1"/>
  <c r="V44"/>
  <c r="X44"/>
  <c r="M49"/>
  <c r="X51"/>
  <c r="T51"/>
  <c r="V64"/>
  <c r="X64"/>
  <c r="T83"/>
  <c r="V83"/>
  <c r="X83"/>
  <c r="R14"/>
  <c r="X15"/>
  <c r="X24"/>
  <c r="O85"/>
  <c r="T39"/>
  <c r="X39"/>
  <c r="L49"/>
  <c r="V58"/>
  <c r="T60"/>
  <c r="V67"/>
  <c r="N76"/>
  <c r="R76" s="1"/>
  <c r="V35"/>
  <c r="X35"/>
  <c r="X46"/>
  <c r="N49"/>
  <c r="R49" s="1"/>
  <c r="X62"/>
  <c r="T66"/>
  <c r="V72"/>
  <c r="X40"/>
  <c r="X82"/>
  <c r="K30" l="1"/>
  <c r="K85" s="1"/>
  <c r="S85"/>
  <c r="V66"/>
  <c r="X66"/>
  <c r="T50"/>
  <c r="R84"/>
  <c r="T33"/>
  <c r="V33"/>
  <c r="X33"/>
  <c r="N30"/>
  <c r="X49"/>
  <c r="T49"/>
  <c r="V49"/>
  <c r="X25"/>
  <c r="T25"/>
  <c r="V25"/>
  <c r="N84"/>
  <c r="X76"/>
  <c r="T76"/>
  <c r="V76"/>
  <c r="L84"/>
  <c r="R30"/>
  <c r="X14"/>
  <c r="V14"/>
  <c r="T14"/>
  <c r="M84"/>
  <c r="M85" s="1"/>
  <c r="V79"/>
  <c r="X79"/>
  <c r="T79"/>
  <c r="U85"/>
  <c r="L85"/>
  <c r="X84" l="1"/>
  <c r="T84"/>
  <c r="V84"/>
  <c r="N85"/>
  <c r="R85"/>
  <c r="V30"/>
  <c r="X30"/>
  <c r="T30"/>
  <c r="V85" l="1"/>
  <c r="X85"/>
  <c r="T85"/>
</calcChain>
</file>

<file path=xl/sharedStrings.xml><?xml version="1.0" encoding="utf-8"?>
<sst xmlns="http://schemas.openxmlformats.org/spreadsheetml/2006/main" count="664" uniqueCount="145">
  <si>
    <t>ANEXO II</t>
  </si>
  <si>
    <t>Sigla: TJAM</t>
  </si>
  <si>
    <t>Nome do Órgão: TRIBUNAL DE JUSTIÇA DO AMAZONAS</t>
  </si>
  <si>
    <t>Responsável pela Informação: SECRETÁRIO DE ORÇAMENTO E FINANÇAS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</si>
  <si>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</si>
  <si>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</si>
  <si>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</si>
  <si>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</si>
  <si>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</si>
  <si>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</si>
  <si>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</si>
  <si>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</si>
  <si>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</si>
  <si>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</si>
  <si>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</si>
  <si>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>Programática
(Programa, Ação e Subtítulo)</t>
  </si>
  <si>
    <t>Descrição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</si>
  <si>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</si>
  <si>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</si>
  <si>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</si>
  <si>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</si>
  <si>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</si>
  <si>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</si>
  <si>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</si>
  <si>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</si>
  <si>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</si>
  <si>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</si>
  <si>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</si>
  <si>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</si>
  <si>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</si>
  <si>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</si>
  <si>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</si>
  <si>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</si>
  <si>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</si>
  <si>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</si>
  <si>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</si>
  <si>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</si>
  <si>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</si>
  <si>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</si>
  <si>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</si>
  <si>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</si>
  <si>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</si>
  <si>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</si>
  <si>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</si>
  <si>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</si>
  <si>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4101</t>
  </si>
  <si>
    <t>TJAM</t>
  </si>
  <si>
    <t>02.061</t>
  </si>
  <si>
    <t>3290/2560.0001</t>
  </si>
  <si>
    <t>Julgamento de Causas na Justiça Estadual do 1° Grau</t>
  </si>
  <si>
    <t>1</t>
  </si>
  <si>
    <t>100</t>
  </si>
  <si>
    <t>3290/2561.0001</t>
  </si>
  <si>
    <t>Benefícios aos Servidores do 1° Grau</t>
  </si>
  <si>
    <t>3290/2563.0001</t>
  </si>
  <si>
    <t>Remuneração de Pessoal Ativo e Encargos Sociais do 1° Grau</t>
  </si>
  <si>
    <t>3291/2347.0001</t>
  </si>
  <si>
    <t>Operacionalização da Escola Superior da Magistratura</t>
  </si>
  <si>
    <t>Recursos Ordinários - Orçamento Corrente</t>
  </si>
  <si>
    <t>3291/2564.0001</t>
  </si>
  <si>
    <t>Prestação Jurisdicional do 2° Grau e Gestão Administrativa na Justiça Estadual</t>
  </si>
  <si>
    <t>Benefícios aos Servidores do 2° Grau</t>
  </si>
  <si>
    <t>3291/2566.0001</t>
  </si>
  <si>
    <t>3291/2744.0001</t>
  </si>
  <si>
    <t>Remuneração de Pessoal Ativo e Encargos Sociais do Apoio Administrativo</t>
  </si>
  <si>
    <t>3291/2745.0001</t>
  </si>
  <si>
    <t>Benefícios aos Servidores do Apoio Administrativo</t>
  </si>
  <si>
    <t>02.122</t>
  </si>
  <si>
    <t>3287/2516.0001</t>
  </si>
  <si>
    <t>Manutenção da Gestão da Fundação Amazonprev</t>
  </si>
  <si>
    <t>02.128</t>
  </si>
  <si>
    <t>3291/2218.0001</t>
  </si>
  <si>
    <t>Formação e aperfeiçoamento dos Servidores</t>
  </si>
  <si>
    <t>02.272</t>
  </si>
  <si>
    <t>0002.0001.0001</t>
  </si>
  <si>
    <t>Encargos com Pessoal Inativo e Pensionistas</t>
  </si>
  <si>
    <t>300</t>
  </si>
  <si>
    <t>28.846</t>
  </si>
  <si>
    <t>0003.0023.0001</t>
  </si>
  <si>
    <t>Cumprimento de Sentenças Judiciais Transitadas em julgado</t>
  </si>
  <si>
    <t>Total l</t>
  </si>
  <si>
    <t>4703</t>
  </si>
  <si>
    <t>Fundo de Modernização e Reaparelhamento do Poder Judiciário Estadual</t>
  </si>
  <si>
    <t>3290/1475.0001</t>
  </si>
  <si>
    <t>Prestação Jurisdicional do 1° Grau na Justiça Estadual</t>
  </si>
  <si>
    <t>Reforma das Unidades Jurisdicionais do 1º Grau</t>
  </si>
  <si>
    <t>201</t>
  </si>
  <si>
    <t>3290/1475.0002</t>
  </si>
  <si>
    <t>401</t>
  </si>
  <si>
    <t>3290/1475.0003</t>
  </si>
  <si>
    <t>3290/1475.0010</t>
  </si>
  <si>
    <t>3290/1475.0011</t>
  </si>
  <si>
    <t>3290/1476.0001</t>
  </si>
  <si>
    <t>Construção de Unidades Jurisdicionais do 1. Grau.</t>
  </si>
  <si>
    <t>3290/1477.0001</t>
  </si>
  <si>
    <t>Implantação do Programa de Segurança no 1° Grau</t>
  </si>
  <si>
    <t>Julgamento de Causas na Justiça Estadual do 1º Grau</t>
  </si>
  <si>
    <t>Benefícios aos Servidores do 1. Grau</t>
  </si>
  <si>
    <t>3291/1478.0001</t>
  </si>
  <si>
    <t>Construção de Unidades Jurisdicionais do 2. Grau.</t>
  </si>
  <si>
    <t>3291/1479.0001</t>
  </si>
  <si>
    <t>Implantação do Programa de Segurança no 2° Grau</t>
  </si>
  <si>
    <t>3291/1480.0011</t>
  </si>
  <si>
    <t>Reforma das Unidades Jurisdicionais do 2º Grau</t>
  </si>
  <si>
    <t>3291/1480.0001</t>
  </si>
  <si>
    <t>3291/2565.0001</t>
  </si>
  <si>
    <t>Julgamento de Causas na Justiça Estadual do 2º Grau</t>
  </si>
  <si>
    <t>3291/2581.0001</t>
  </si>
  <si>
    <t>Operacionalização da Corregedoria Geral de Justiça</t>
  </si>
  <si>
    <t>02.126</t>
  </si>
  <si>
    <t>3290/2627.0001</t>
  </si>
  <si>
    <t>Ampliação e Manutenção da Estrutura da Tecnologia da Informação no 1° Grau do Poder Judiciário</t>
  </si>
  <si>
    <t>3291/2628.0001</t>
  </si>
  <si>
    <t>Ampliação e Manutenção da Estrutura da Tecnologia da Informação no 2° Grau do Poder Judiciário</t>
  </si>
  <si>
    <t>Formação e Aperfeiçoamento dos servidores</t>
  </si>
  <si>
    <t>Total ll</t>
  </si>
  <si>
    <t>Total lll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</si>
  <si>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</si>
  <si>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</si>
  <si>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 xml:space="preserve">           3.No campo Crédtitos Adicionais: Acréscimos, são somados os valores de Dotação Suplementar e Dotação Especial.</t>
  </si>
  <si>
    <t>NELIA CAMINHA JORGE</t>
  </si>
  <si>
    <t>1.500.100.0.0000.0000</t>
  </si>
  <si>
    <t>Julgamento de Causas na Justiça Estadual do 2° Grau</t>
  </si>
  <si>
    <t>1.759.201.0.0000.0000</t>
  </si>
  <si>
    <t>3290/1476.0010</t>
  </si>
  <si>
    <t>3290/1476.0011</t>
  </si>
  <si>
    <t>1.759.285.0.0000.0000</t>
  </si>
  <si>
    <t>3291/1478.0011</t>
  </si>
  <si>
    <t>Recursos não Vinculados de Impostos</t>
  </si>
  <si>
    <t>Remuneração de Pessoal Ativo e Encargos Sociais do 2° Grau</t>
  </si>
  <si>
    <t>Previdência de Inativos e Pensionistas do Estado</t>
  </si>
  <si>
    <t>2</t>
  </si>
  <si>
    <t>Operações Especiais: Cumprimento de Senteças Judiciais</t>
  </si>
  <si>
    <t>Recursos Vinculados a Fundos - Diretamente Arrecadados</t>
  </si>
  <si>
    <t>3290/1475.0005</t>
  </si>
  <si>
    <t>2.759.201.0.0000.0000</t>
  </si>
  <si>
    <t>Recursos Vinculados a Fundos - Outras Fontes</t>
  </si>
  <si>
    <t>2.759.285.0.0000.0000</t>
  </si>
  <si>
    <t>3291.2581.0001</t>
  </si>
  <si>
    <t xml:space="preserve">  </t>
  </si>
  <si>
    <t>3290.1476.0011</t>
  </si>
  <si>
    <t/>
  </si>
  <si>
    <t>3290/1476.0003</t>
  </si>
  <si>
    <t>Mês de Referência: 09/2023</t>
  </si>
  <si>
    <t>Data da Publicação: 11/10/2023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</si>
</sst>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0\ ;\(0\);\-#\ ;@\ "/>
    <numFmt numFmtId="166" formatCode="#,##0.00\ ;#,##0.00\ ;\-#\ ;@\ "/>
    <numFmt numFmtId="167" formatCode="#,##0.00\ ;#,##0.00\ ;\-#\ "/>
  </numFmts>
  <fonts count="9">
    <font>
      <sz val="11"/>
      <color rgb="FF000000"/>
      <name val="Arial"/>
      <scheme val="minor"/>
    </font>
    <font>
      <sz val="9"/>
      <color rgb="FF000000"/>
      <name val="Arial"/>
    </font>
    <font>
      <sz val="11"/>
      <name val="Arial"/>
    </font>
    <font>
      <sz val="7"/>
      <color rgb="FF000000"/>
      <name val="Arial"/>
    </font>
    <font>
      <sz val="11"/>
      <color rgb="FF000000"/>
      <name val="Arial"/>
    </font>
    <font>
      <sz val="7"/>
      <color rgb="FFFF0000"/>
      <name val="Arial"/>
    </font>
    <font>
      <b/>
      <sz val="7"/>
      <color rgb="FF000000"/>
      <name val="Arial"/>
    </font>
    <font>
      <sz val="12"/>
      <color rgb="FF000000"/>
      <name val="Arial"/>
    </font>
    <font>
      <sz val="10"/>
      <color rgb="FF000000"/>
      <name val="Arial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  <fill>
      <patternFill patternType="solid">
        <fgColor rgb="FFCFE7E5"/>
        <bgColor rgb="FFCFE7E5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DBE5F1"/>
        <bgColor rgb="FFDBE5F1"/>
      </patternFill>
    </fill>
    <fill>
      <patternFill patternType="solid">
        <fgColor rgb="FF00DCFF"/>
        <bgColor rgb="FF00DCFF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</fills>
  <borders count="18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00">
    <xf numFmtId="0" fontId="0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4" fillId="0" borderId="0" xfId="0" applyFont="1" applyAlignment="1"/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164" fontId="3" fillId="0" borderId="0" xfId="0" applyNumberFormat="1" applyFont="1" applyAlignment="1">
      <alignment horizontal="center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165" fontId="6" fillId="0" borderId="12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166" fontId="3" fillId="2" borderId="11" xfId="0" applyNumberFormat="1" applyFont="1" applyFill="1" applyBorder="1" applyAlignment="1">
      <alignment horizontal="right" vertical="center"/>
    </xf>
    <xf numFmtId="4" fontId="6" fillId="2" borderId="11" xfId="0" applyNumberFormat="1" applyFont="1" applyFill="1" applyBorder="1" applyAlignment="1">
      <alignment horizontal="right" vertical="center"/>
    </xf>
    <xf numFmtId="4" fontId="3" fillId="2" borderId="11" xfId="0" applyNumberFormat="1" applyFont="1" applyFill="1" applyBorder="1" applyAlignment="1">
      <alignment horizontal="right" vertical="center"/>
    </xf>
    <xf numFmtId="164" fontId="6" fillId="2" borderId="11" xfId="0" applyNumberFormat="1" applyFont="1" applyFill="1" applyBorder="1" applyAlignment="1">
      <alignment horizontal="center" vertical="center"/>
    </xf>
    <xf numFmtId="166" fontId="3" fillId="4" borderId="11" xfId="0" applyNumberFormat="1" applyFont="1" applyFill="1" applyBorder="1" applyAlignment="1">
      <alignment horizontal="right" vertical="center"/>
    </xf>
    <xf numFmtId="166" fontId="4" fillId="0" borderId="0" xfId="0" applyNumberFormat="1" applyFont="1" applyAlignment="1"/>
    <xf numFmtId="0" fontId="3" fillId="5" borderId="11" xfId="0" applyFont="1" applyFill="1" applyBorder="1" applyAlignment="1">
      <alignment horizontal="center" vertical="center" wrapText="1"/>
    </xf>
    <xf numFmtId="166" fontId="3" fillId="5" borderId="11" xfId="0" applyNumberFormat="1" applyFont="1" applyFill="1" applyBorder="1" applyAlignment="1">
      <alignment horizontal="right" vertical="center"/>
    </xf>
    <xf numFmtId="49" fontId="3" fillId="0" borderId="11" xfId="0" applyNumberFormat="1" applyFont="1" applyBorder="1" applyAlignment="1">
      <alignment horizontal="center" vertical="center" wrapText="1"/>
    </xf>
    <xf numFmtId="167" fontId="3" fillId="0" borderId="11" xfId="0" applyNumberFormat="1" applyFont="1" applyBorder="1" applyAlignment="1">
      <alignment horizontal="right" vertical="center"/>
    </xf>
    <xf numFmtId="166" fontId="3" fillId="0" borderId="11" xfId="0" applyNumberFormat="1" applyFont="1" applyBorder="1" applyAlignment="1">
      <alignment horizontal="right" vertical="center"/>
    </xf>
    <xf numFmtId="4" fontId="6" fillId="0" borderId="11" xfId="0" applyNumberFormat="1" applyFont="1" applyBorder="1" applyAlignment="1">
      <alignment horizontal="right" vertical="center"/>
    </xf>
    <xf numFmtId="167" fontId="3" fillId="0" borderId="3" xfId="0" applyNumberFormat="1" applyFont="1" applyBorder="1" applyAlignment="1">
      <alignment horizontal="right" vertical="center"/>
    </xf>
    <xf numFmtId="164" fontId="6" fillId="0" borderId="11" xfId="0" applyNumberFormat="1" applyFont="1" applyBorder="1" applyAlignment="1">
      <alignment horizontal="center" vertical="center"/>
    </xf>
    <xf numFmtId="4" fontId="6" fillId="6" borderId="11" xfId="0" applyNumberFormat="1" applyFont="1" applyFill="1" applyBorder="1" applyAlignment="1">
      <alignment horizontal="center" vertical="center" wrapText="1"/>
    </xf>
    <xf numFmtId="164" fontId="6" fillId="6" borderId="11" xfId="0" applyNumberFormat="1" applyFont="1" applyFill="1" applyBorder="1" applyAlignment="1">
      <alignment horizontal="center" vertical="center"/>
    </xf>
    <xf numFmtId="49" fontId="7" fillId="6" borderId="11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right" vertical="center"/>
    </xf>
    <xf numFmtId="166" fontId="3" fillId="7" borderId="11" xfId="0" applyNumberFormat="1" applyFont="1" applyFill="1" applyBorder="1" applyAlignment="1">
      <alignment horizontal="right" vertical="center"/>
    </xf>
    <xf numFmtId="49" fontId="3" fillId="3" borderId="13" xfId="0" applyNumberFormat="1" applyFont="1" applyFill="1" applyBorder="1" applyAlignment="1">
      <alignment horizontal="center" vertical="center" wrapText="1"/>
    </xf>
    <xf numFmtId="166" fontId="3" fillId="2" borderId="13" xfId="0" applyNumberFormat="1" applyFont="1" applyFill="1" applyBorder="1" applyAlignment="1">
      <alignment horizontal="right" vertical="center"/>
    </xf>
    <xf numFmtId="4" fontId="6" fillId="2" borderId="13" xfId="0" applyNumberFormat="1" applyFont="1" applyFill="1" applyBorder="1" applyAlignment="1">
      <alignment horizontal="right" vertical="center"/>
    </xf>
    <xf numFmtId="167" fontId="3" fillId="0" borderId="12" xfId="0" applyNumberFormat="1" applyFont="1" applyBorder="1" applyAlignment="1">
      <alignment horizontal="right" vertical="center"/>
    </xf>
    <xf numFmtId="166" fontId="3" fillId="8" borderId="11" xfId="0" applyNumberFormat="1" applyFont="1" applyFill="1" applyBorder="1" applyAlignment="1">
      <alignment horizontal="right" vertical="center"/>
    </xf>
    <xf numFmtId="4" fontId="6" fillId="9" borderId="11" xfId="0" applyNumberFormat="1" applyFont="1" applyFill="1" applyBorder="1" applyAlignment="1">
      <alignment horizontal="center" vertical="center" wrapText="1"/>
    </xf>
    <xf numFmtId="164" fontId="6" fillId="9" borderId="11" xfId="0" applyNumberFormat="1" applyFont="1" applyFill="1" applyBorder="1" applyAlignment="1">
      <alignment horizontal="center" vertical="center"/>
    </xf>
    <xf numFmtId="0" fontId="8" fillId="2" borderId="14" xfId="0" applyFont="1" applyFill="1" applyBorder="1" applyAlignment="1"/>
    <xf numFmtId="0" fontId="3" fillId="2" borderId="15" xfId="0" applyFont="1" applyFill="1" applyBorder="1" applyAlignment="1"/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/>
    <xf numFmtId="0" fontId="3" fillId="2" borderId="4" xfId="0" applyFont="1" applyFill="1" applyBorder="1" applyAlignment="1"/>
    <xf numFmtId="0" fontId="5" fillId="2" borderId="15" xfId="0" applyFont="1" applyFill="1" applyBorder="1" applyAlignment="1"/>
    <xf numFmtId="4" fontId="3" fillId="2" borderId="4" xfId="0" applyNumberFormat="1" applyFont="1" applyFill="1" applyBorder="1" applyAlignment="1"/>
    <xf numFmtId="0" fontId="3" fillId="2" borderId="17" xfId="0" applyFont="1" applyFill="1" applyBorder="1" applyAlignment="1">
      <alignment horizontal="center"/>
    </xf>
    <xf numFmtId="164" fontId="3" fillId="2" borderId="17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center" vertical="center" wrapText="1"/>
    </xf>
    <xf numFmtId="166" fontId="3" fillId="2" borderId="11" xfId="0" applyNumberFormat="1" applyFont="1" applyFill="1" applyBorder="1" applyAlignment="1">
      <alignment horizontal="right" vertical="center"/>
    </xf>
    <xf numFmtId="166" fontId="3" fillId="5" borderId="11" xfId="0" applyNumberFormat="1" applyFont="1" applyFill="1" applyBorder="1" applyAlignment="1">
      <alignment horizontal="right" vertical="center"/>
    </xf>
    <xf numFmtId="167" fontId="3" fillId="0" borderId="11" xfId="0" applyNumberFormat="1" applyFont="1" applyBorder="1" applyAlignment="1">
      <alignment horizontal="right" vertical="center"/>
    </xf>
    <xf numFmtId="166" fontId="3" fillId="0" borderId="11" xfId="0" applyNumberFormat="1" applyFont="1" applyBorder="1" applyAlignment="1">
      <alignment horizontal="right" vertical="center"/>
    </xf>
    <xf numFmtId="167" fontId="3" fillId="0" borderId="3" xfId="0" applyNumberFormat="1" applyFont="1" applyBorder="1" applyAlignment="1">
      <alignment horizontal="right" vertical="center"/>
    </xf>
    <xf numFmtId="166" fontId="3" fillId="8" borderId="11" xfId="0" applyNumberFormat="1" applyFont="1" applyFill="1" applyBorder="1" applyAlignment="1">
      <alignment horizontal="right" vertical="center"/>
    </xf>
    <xf numFmtId="167" fontId="3" fillId="0" borderId="10" xfId="0" applyNumberFormat="1" applyFont="1" applyBorder="1" applyAlignment="1">
      <alignment horizontal="right" vertical="center"/>
    </xf>
    <xf numFmtId="166" fontId="3" fillId="7" borderId="11" xfId="0" applyNumberFormat="1" applyFont="1" applyFill="1" applyBorder="1" applyAlignment="1">
      <alignment horizontal="right" vertical="center"/>
    </xf>
    <xf numFmtId="49" fontId="3" fillId="0" borderId="11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49" fontId="3" fillId="0" borderId="13" xfId="0" applyNumberFormat="1" applyFont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right" vertical="center"/>
    </xf>
    <xf numFmtId="49" fontId="3" fillId="3" borderId="11" xfId="0" applyNumberFormat="1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0" fontId="3" fillId="2" borderId="11" xfId="0" quotePrefix="1" applyFont="1" applyFill="1" applyBorder="1" applyAlignment="1">
      <alignment horizontal="right" vertical="center"/>
    </xf>
    <xf numFmtId="0" fontId="3" fillId="8" borderId="13" xfId="0" applyFont="1" applyFill="1" applyBorder="1" applyAlignment="1">
      <alignment horizontal="center" vertical="center" wrapText="1"/>
    </xf>
    <xf numFmtId="166" fontId="3" fillId="8" borderId="13" xfId="0" applyNumberFormat="1" applyFont="1" applyFill="1" applyBorder="1" applyAlignment="1">
      <alignment horizontal="right" vertical="center"/>
    </xf>
    <xf numFmtId="0" fontId="3" fillId="8" borderId="11" xfId="0" applyFont="1" applyFill="1" applyBorder="1" applyAlignment="1">
      <alignment horizontal="center" vertical="center" wrapText="1"/>
    </xf>
    <xf numFmtId="0" fontId="3" fillId="11" borderId="11" xfId="0" applyFont="1" applyFill="1" applyBorder="1" applyAlignment="1">
      <alignment horizontal="center" vertical="center" wrapText="1"/>
    </xf>
    <xf numFmtId="166" fontId="3" fillId="10" borderId="1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1" fillId="0" borderId="5" xfId="0" applyFont="1" applyBorder="1" applyAlignment="1">
      <alignment horizontal="left" vertical="center"/>
    </xf>
    <xf numFmtId="0" fontId="2" fillId="0" borderId="6" xfId="0" applyFont="1" applyBorder="1"/>
    <xf numFmtId="0" fontId="2" fillId="0" borderId="7" xfId="0" applyFont="1" applyBorder="1"/>
    <xf numFmtId="0" fontId="6" fillId="0" borderId="0" xfId="0" applyFont="1" applyAlignment="1">
      <alignment horizontal="center"/>
    </xf>
    <xf numFmtId="0" fontId="0" fillId="0" borderId="0" xfId="0" applyFont="1" applyAlignment="1"/>
    <xf numFmtId="0" fontId="6" fillId="0" borderId="9" xfId="0" applyFont="1" applyBorder="1" applyAlignment="1">
      <alignment horizontal="center" vertical="center" wrapText="1"/>
    </xf>
    <xf numFmtId="0" fontId="2" fillId="0" borderId="10" xfId="0" applyFont="1" applyBorder="1"/>
    <xf numFmtId="0" fontId="6" fillId="0" borderId="1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49" fontId="4" fillId="9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/>
    </xf>
    <xf numFmtId="0" fontId="4" fillId="2" borderId="5" xfId="0" applyFont="1" applyFill="1" applyBorder="1" applyAlignment="1"/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theme" Target="theme/theme1.xml"/><Relationship Id="rId25" Type="http://customschemas.google.com/relationships/workbookmetadata" Target="metadata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28" Type="http://schemas.openxmlformats.org/officeDocument/2006/relationships/sharedStrings" Target="sharedStrings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A970"/>
  <sheetViews>
    <sheetView tabSelected="1" workbookViewId="0">
      <selection activeCell="I108" sqref="I108"/>
    </sheetView>
  </sheetViews>
  <sheetFormatPr defaultColWidth="12.625" defaultRowHeight="15" customHeight="1"/>
  <cols>
    <col min="1" max="1" width="9.125" customWidth="1"/>
    <col min="2" max="2" width="11" customWidth="1"/>
    <col min="3" max="3" width="9.125" customWidth="1"/>
    <col min="4" max="4" width="14" customWidth="1"/>
    <col min="5" max="5" width="9.125" customWidth="1"/>
    <col min="6" max="6" width="11.375" customWidth="1"/>
    <col min="7" max="7" width="14" customWidth="1"/>
    <col min="8" max="8" width="13" customWidth="1"/>
    <col min="9" max="10" width="9.125" customWidth="1"/>
    <col min="11" max="11" width="13.25" customWidth="1"/>
    <col min="12" max="12" width="10.375" customWidth="1"/>
    <col min="13" max="13" width="14" customWidth="1"/>
    <col min="14" max="14" width="13.625" customWidth="1"/>
    <col min="15" max="16" width="9.125" customWidth="1"/>
    <col min="17" max="17" width="10.375" customWidth="1"/>
    <col min="18" max="18" width="12.75" customWidth="1"/>
    <col min="19" max="19" width="11.75" customWidth="1"/>
    <col min="20" max="20" width="12.375" customWidth="1"/>
    <col min="21" max="21" width="13.875" customWidth="1"/>
    <col min="22" max="22" width="9.125" customWidth="1"/>
    <col min="23" max="23" width="14.625" customWidth="1"/>
    <col min="24" max="24" width="9.125" customWidth="1"/>
    <col min="25" max="25" width="12.75" customWidth="1"/>
    <col min="26" max="27" width="9.125" customWidth="1"/>
  </cols>
  <sheetData>
    <row r="1" spans="1:27" ht="14.25" customHeight="1">
      <c r="A1" s="82" t="s">
        <v>0</v>
      </c>
      <c r="B1" s="83"/>
      <c r="C1" s="83"/>
      <c r="D1" s="83"/>
      <c r="E1" s="83"/>
      <c r="F1" s="84"/>
      <c r="G1" s="1"/>
      <c r="H1" s="2"/>
      <c r="I1" s="2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4"/>
      <c r="V1" s="5"/>
      <c r="W1" s="5"/>
      <c r="X1" s="5"/>
      <c r="Y1" s="5"/>
      <c r="Z1" s="5"/>
      <c r="AA1" s="5"/>
    </row>
    <row r="2" spans="1:27" ht="14.25" customHeight="1">
      <c r="A2" s="85" t="s">
        <v>1</v>
      </c>
      <c r="B2" s="86"/>
      <c r="C2" s="86"/>
      <c r="D2" s="86"/>
      <c r="E2" s="86"/>
      <c r="F2" s="87"/>
      <c r="G2" s="1"/>
      <c r="H2" s="2"/>
      <c r="I2" s="2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4"/>
      <c r="V2" s="5"/>
      <c r="W2" s="5"/>
      <c r="X2" s="5"/>
      <c r="Y2" s="5"/>
      <c r="Z2" s="5"/>
      <c r="AA2" s="5"/>
    </row>
    <row r="3" spans="1:27" ht="14.25" customHeight="1">
      <c r="A3" s="85" t="s">
        <v>2</v>
      </c>
      <c r="B3" s="86"/>
      <c r="C3" s="86"/>
      <c r="D3" s="86"/>
      <c r="E3" s="86"/>
      <c r="F3" s="87"/>
      <c r="G3" s="1"/>
      <c r="H3" s="2"/>
      <c r="I3" s="2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4"/>
      <c r="V3" s="5"/>
      <c r="W3" s="5"/>
      <c r="X3" s="5"/>
      <c r="Y3" s="5"/>
      <c r="Z3" s="5"/>
      <c r="AA3" s="5"/>
    </row>
    <row r="4" spans="1:27" ht="14.25" customHeight="1">
      <c r="A4" s="82" t="s">
        <v>120</v>
      </c>
      <c r="B4" s="83"/>
      <c r="C4" s="83"/>
      <c r="D4" s="83"/>
      <c r="E4" s="83"/>
      <c r="F4" s="84"/>
      <c r="G4" s="1"/>
      <c r="H4" s="2"/>
      <c r="I4" s="2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4"/>
      <c r="V4" s="5"/>
      <c r="W4" s="5"/>
      <c r="X4" s="5"/>
      <c r="Y4" s="5"/>
      <c r="Z4" s="5"/>
      <c r="AA4" s="5"/>
    </row>
    <row r="5" spans="1:27" ht="14.25" customHeight="1">
      <c r="A5" s="6" t="s">
        <v>3</v>
      </c>
      <c r="B5" s="6"/>
      <c r="C5" s="6"/>
      <c r="D5" s="6"/>
      <c r="E5" s="6"/>
      <c r="F5" s="6"/>
      <c r="G5" s="7"/>
      <c r="H5" s="2"/>
      <c r="I5" s="2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4"/>
      <c r="V5" s="5"/>
      <c r="W5" s="5"/>
      <c r="X5" s="5"/>
      <c r="Y5" s="5"/>
      <c r="Z5" s="5"/>
      <c r="AA5" s="5"/>
    </row>
    <row r="6" spans="1:27" ht="14.25" customHeight="1">
      <c r="A6" s="82" t="s">
        <v>143</v>
      </c>
      <c r="B6" s="83"/>
      <c r="C6" s="83"/>
      <c r="D6" s="83"/>
      <c r="E6" s="83"/>
      <c r="F6" s="84"/>
      <c r="G6" s="1"/>
      <c r="H6" s="2"/>
      <c r="I6" s="2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4"/>
      <c r="V6" s="5"/>
      <c r="W6" s="5"/>
      <c r="X6" s="5"/>
      <c r="Y6" s="5"/>
      <c r="Z6" s="5"/>
      <c r="AA6" s="5"/>
    </row>
    <row r="7" spans="1:27" ht="14.25" customHeight="1">
      <c r="A7" s="82" t="s">
        <v>144</v>
      </c>
      <c r="B7" s="83"/>
      <c r="C7" s="83"/>
      <c r="D7" s="83"/>
      <c r="E7" s="83"/>
      <c r="F7" s="84"/>
      <c r="G7" s="1"/>
      <c r="H7" s="2"/>
      <c r="I7" s="2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4"/>
      <c r="V7" s="5"/>
      <c r="W7" s="5"/>
      <c r="X7" s="5"/>
      <c r="Y7" s="5"/>
      <c r="Z7" s="5"/>
      <c r="AA7" s="5"/>
    </row>
    <row r="8" spans="1:27" ht="14.25" customHeight="1">
      <c r="A8" s="99"/>
      <c r="B8" s="89"/>
      <c r="C8" s="89"/>
      <c r="D8" s="89"/>
      <c r="E8" s="89"/>
      <c r="F8" s="89"/>
      <c r="G8" s="1"/>
      <c r="H8" s="2"/>
      <c r="I8" s="2"/>
      <c r="J8" s="68"/>
      <c r="K8" s="1"/>
      <c r="L8" s="1"/>
      <c r="M8" s="1"/>
      <c r="N8" s="1"/>
      <c r="O8" s="1"/>
      <c r="P8" s="1"/>
      <c r="Q8" s="1"/>
      <c r="R8" s="1"/>
      <c r="S8" s="1"/>
      <c r="T8" s="1"/>
      <c r="U8" s="69"/>
      <c r="V8" s="5"/>
      <c r="W8" s="5"/>
      <c r="X8" s="5"/>
      <c r="Y8" s="5"/>
      <c r="Z8" s="5"/>
      <c r="AA8" s="5"/>
    </row>
    <row r="9" spans="1:27" ht="14.25" customHeight="1">
      <c r="A9" s="88" t="s">
        <v>4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5"/>
      <c r="Z9" s="5"/>
      <c r="AA9" s="5"/>
    </row>
    <row r="10" spans="1:27" ht="14.25" customHeight="1">
      <c r="A10" s="1"/>
      <c r="B10" s="1"/>
      <c r="C10" s="1"/>
      <c r="D10" s="1"/>
      <c r="E10" s="1"/>
      <c r="F10" s="1"/>
      <c r="G10" s="1"/>
      <c r="H10" s="2"/>
      <c r="I10" s="2"/>
      <c r="J10" s="56"/>
      <c r="K10" s="1"/>
      <c r="L10" s="1"/>
      <c r="M10" s="1"/>
      <c r="N10" s="1"/>
      <c r="O10" s="1"/>
      <c r="P10" s="1"/>
      <c r="Q10" s="1"/>
      <c r="R10" s="1"/>
      <c r="S10" s="1"/>
      <c r="T10" s="1"/>
      <c r="U10" s="57"/>
      <c r="V10" s="1"/>
      <c r="W10" s="8"/>
      <c r="X10" s="1"/>
      <c r="Y10" s="5"/>
      <c r="Z10" s="5"/>
      <c r="AA10" s="5"/>
    </row>
    <row r="11" spans="1:27" ht="14.25" customHeight="1">
      <c r="A11" s="92" t="s">
        <v>5</v>
      </c>
      <c r="B11" s="83"/>
      <c r="C11" s="83"/>
      <c r="D11" s="83"/>
      <c r="E11" s="83"/>
      <c r="F11" s="83"/>
      <c r="G11" s="83"/>
      <c r="H11" s="83"/>
      <c r="I11" s="83"/>
      <c r="J11" s="84"/>
      <c r="K11" s="90" t="s">
        <v>6</v>
      </c>
      <c r="L11" s="92" t="s">
        <v>7</v>
      </c>
      <c r="M11" s="84"/>
      <c r="N11" s="90" t="s">
        <v>8</v>
      </c>
      <c r="O11" s="90" t="s">
        <v>9</v>
      </c>
      <c r="P11" s="92" t="s">
        <v>10</v>
      </c>
      <c r="Q11" s="84"/>
      <c r="R11" s="90" t="s">
        <v>11</v>
      </c>
      <c r="S11" s="92" t="s">
        <v>12</v>
      </c>
      <c r="T11" s="83"/>
      <c r="U11" s="83"/>
      <c r="V11" s="83"/>
      <c r="W11" s="83"/>
      <c r="X11" s="84"/>
      <c r="Y11" s="5"/>
      <c r="Z11" s="5"/>
      <c r="AA11" s="5"/>
    </row>
    <row r="12" spans="1:27" ht="14.25" customHeight="1">
      <c r="A12" s="92" t="s">
        <v>13</v>
      </c>
      <c r="B12" s="84"/>
      <c r="C12" s="90" t="s">
        <v>14</v>
      </c>
      <c r="D12" s="90" t="s">
        <v>15</v>
      </c>
      <c r="E12" s="92" t="s">
        <v>16</v>
      </c>
      <c r="F12" s="84"/>
      <c r="G12" s="90" t="s">
        <v>17</v>
      </c>
      <c r="H12" s="92" t="s">
        <v>18</v>
      </c>
      <c r="I12" s="84"/>
      <c r="J12" s="93" t="s">
        <v>19</v>
      </c>
      <c r="K12" s="91"/>
      <c r="L12" s="9" t="s">
        <v>20</v>
      </c>
      <c r="M12" s="9" t="s">
        <v>21</v>
      </c>
      <c r="N12" s="91"/>
      <c r="O12" s="91"/>
      <c r="P12" s="10" t="s">
        <v>22</v>
      </c>
      <c r="Q12" s="10" t="s">
        <v>23</v>
      </c>
      <c r="R12" s="91"/>
      <c r="S12" s="11" t="s">
        <v>24</v>
      </c>
      <c r="T12" s="12" t="s">
        <v>25</v>
      </c>
      <c r="U12" s="11" t="s">
        <v>26</v>
      </c>
      <c r="V12" s="13" t="s">
        <v>25</v>
      </c>
      <c r="W12" s="14" t="s">
        <v>27</v>
      </c>
      <c r="X12" s="13" t="s">
        <v>25</v>
      </c>
      <c r="Y12" s="5"/>
      <c r="Z12" s="5"/>
      <c r="AA12" s="5"/>
    </row>
    <row r="13" spans="1:27" ht="31.5" customHeight="1">
      <c r="A13" s="11" t="s">
        <v>28</v>
      </c>
      <c r="B13" s="11" t="s">
        <v>16</v>
      </c>
      <c r="C13" s="91"/>
      <c r="D13" s="91"/>
      <c r="E13" s="10" t="s">
        <v>29</v>
      </c>
      <c r="F13" s="10" t="s">
        <v>30</v>
      </c>
      <c r="G13" s="91"/>
      <c r="H13" s="10" t="s">
        <v>28</v>
      </c>
      <c r="I13" s="10" t="s">
        <v>16</v>
      </c>
      <c r="J13" s="91"/>
      <c r="K13" s="11" t="s">
        <v>31</v>
      </c>
      <c r="L13" s="10" t="s">
        <v>32</v>
      </c>
      <c r="M13" s="10" t="s">
        <v>33</v>
      </c>
      <c r="N13" s="10" t="s">
        <v>34</v>
      </c>
      <c r="O13" s="10" t="s">
        <v>35</v>
      </c>
      <c r="P13" s="10" t="s">
        <v>36</v>
      </c>
      <c r="Q13" s="10" t="s">
        <v>37</v>
      </c>
      <c r="R13" s="11" t="s">
        <v>38</v>
      </c>
      <c r="S13" s="15" t="s">
        <v>39</v>
      </c>
      <c r="T13" s="16" t="s">
        <v>40</v>
      </c>
      <c r="U13" s="15" t="s">
        <v>41</v>
      </c>
      <c r="V13" s="16" t="s">
        <v>42</v>
      </c>
      <c r="W13" s="14" t="s">
        <v>43</v>
      </c>
      <c r="X13" s="16" t="s">
        <v>44</v>
      </c>
      <c r="Y13" s="5"/>
      <c r="Z13" s="5"/>
      <c r="AA13" s="5"/>
    </row>
    <row r="14" spans="1:27" ht="63" customHeight="1">
      <c r="A14" s="17" t="s">
        <v>45</v>
      </c>
      <c r="B14" s="28" t="s">
        <v>46</v>
      </c>
      <c r="C14" s="28" t="s">
        <v>47</v>
      </c>
      <c r="D14" s="28" t="s">
        <v>48</v>
      </c>
      <c r="E14" s="67" t="s">
        <v>84</v>
      </c>
      <c r="F14" s="28" t="s">
        <v>49</v>
      </c>
      <c r="G14" s="28" t="s">
        <v>50</v>
      </c>
      <c r="H14" s="67" t="s">
        <v>121</v>
      </c>
      <c r="I14" s="67" t="s">
        <v>128</v>
      </c>
      <c r="J14" s="73">
        <v>3</v>
      </c>
      <c r="K14" s="62">
        <v>2000000</v>
      </c>
      <c r="L14" s="59">
        <v>631198.02</v>
      </c>
      <c r="M14" s="59">
        <v>631198.02</v>
      </c>
      <c r="N14" s="21">
        <f t="shared" ref="N14:N29" si="0">K14+L14-M14</f>
        <v>2000000</v>
      </c>
      <c r="O14" s="22"/>
      <c r="P14" s="22"/>
      <c r="Q14" s="22"/>
      <c r="R14" s="21">
        <f t="shared" ref="R14:R29" si="1">N14-O14+P14+Q14</f>
        <v>2000000</v>
      </c>
      <c r="S14" s="59">
        <v>0</v>
      </c>
      <c r="T14" s="23">
        <f t="shared" ref="T14:T30" si="2">IF(R14&gt;0,S14/R14,0)</f>
        <v>0</v>
      </c>
      <c r="U14" s="64">
        <v>0</v>
      </c>
      <c r="V14" s="23">
        <f t="shared" ref="V14:V30" si="3">IF(R14&gt;0,U14/R14,0)</f>
        <v>0</v>
      </c>
      <c r="W14" s="59">
        <v>0</v>
      </c>
      <c r="X14" s="23">
        <f t="shared" ref="X14:X30" si="4">IF(R14&gt;0,W14/R14,0)</f>
        <v>0</v>
      </c>
      <c r="Y14" s="5"/>
      <c r="Z14" s="5"/>
      <c r="AA14" s="5"/>
    </row>
    <row r="15" spans="1:27" ht="63" customHeight="1">
      <c r="A15" s="17" t="s">
        <v>45</v>
      </c>
      <c r="B15" s="28" t="s">
        <v>46</v>
      </c>
      <c r="C15" s="28" t="s">
        <v>47</v>
      </c>
      <c r="D15" s="28" t="s">
        <v>52</v>
      </c>
      <c r="E15" s="67" t="s">
        <v>84</v>
      </c>
      <c r="F15" s="28" t="s">
        <v>53</v>
      </c>
      <c r="G15" s="28" t="s">
        <v>50</v>
      </c>
      <c r="H15" s="67" t="s">
        <v>121</v>
      </c>
      <c r="I15" s="67" t="s">
        <v>128</v>
      </c>
      <c r="J15" s="73">
        <v>3</v>
      </c>
      <c r="K15" s="62">
        <v>76324000</v>
      </c>
      <c r="L15" s="59">
        <v>0</v>
      </c>
      <c r="M15" s="59">
        <v>0</v>
      </c>
      <c r="N15" s="21">
        <f t="shared" si="0"/>
        <v>76324000</v>
      </c>
      <c r="O15" s="76" t="s">
        <v>141</v>
      </c>
      <c r="P15" s="22"/>
      <c r="Q15" s="22"/>
      <c r="R15" s="21" t="e">
        <f t="shared" si="1"/>
        <v>#VALUE!</v>
      </c>
      <c r="S15" s="59">
        <v>58026670.359999999</v>
      </c>
      <c r="T15" s="23" t="e">
        <f t="shared" si="2"/>
        <v>#VALUE!</v>
      </c>
      <c r="U15" s="64">
        <v>58026670.359999999</v>
      </c>
      <c r="V15" s="23" t="e">
        <f t="shared" si="3"/>
        <v>#VALUE!</v>
      </c>
      <c r="W15" s="59">
        <v>58026670.359999999</v>
      </c>
      <c r="X15" s="23" t="e">
        <f t="shared" si="4"/>
        <v>#VALUE!</v>
      </c>
      <c r="Y15" s="25"/>
      <c r="Z15" s="5"/>
      <c r="AA15" s="5"/>
    </row>
    <row r="16" spans="1:27" ht="63" customHeight="1">
      <c r="A16" s="17" t="s">
        <v>45</v>
      </c>
      <c r="B16" s="28" t="s">
        <v>46</v>
      </c>
      <c r="C16" s="28" t="s">
        <v>47</v>
      </c>
      <c r="D16" s="28" t="s">
        <v>54</v>
      </c>
      <c r="E16" s="67" t="s">
        <v>84</v>
      </c>
      <c r="F16" s="28" t="s">
        <v>55</v>
      </c>
      <c r="G16" s="28" t="s">
        <v>50</v>
      </c>
      <c r="H16" s="67" t="s">
        <v>121</v>
      </c>
      <c r="I16" s="67" t="s">
        <v>128</v>
      </c>
      <c r="J16" s="26">
        <v>1</v>
      </c>
      <c r="K16" s="62">
        <v>461873000</v>
      </c>
      <c r="L16" s="59">
        <v>19586634.43</v>
      </c>
      <c r="M16" s="59">
        <v>19586634.43</v>
      </c>
      <c r="N16" s="21">
        <f t="shared" si="0"/>
        <v>461873000</v>
      </c>
      <c r="O16" s="22"/>
      <c r="P16" s="22"/>
      <c r="Q16" s="22"/>
      <c r="R16" s="21">
        <f t="shared" si="1"/>
        <v>461873000</v>
      </c>
      <c r="S16" s="59">
        <v>331408458.19999999</v>
      </c>
      <c r="T16" s="23">
        <f t="shared" si="2"/>
        <v>0.71753156863466794</v>
      </c>
      <c r="U16" s="60">
        <v>331408458.19999999</v>
      </c>
      <c r="V16" s="23">
        <f t="shared" si="3"/>
        <v>0.71753156863466794</v>
      </c>
      <c r="W16" s="59">
        <v>329981267.56999999</v>
      </c>
      <c r="X16" s="23">
        <f t="shared" si="4"/>
        <v>0.71444156200947007</v>
      </c>
      <c r="Y16" s="5"/>
      <c r="Z16" s="5"/>
      <c r="AA16" s="5"/>
    </row>
    <row r="17" spans="1:27" ht="63" customHeight="1">
      <c r="A17" s="17" t="s">
        <v>45</v>
      </c>
      <c r="B17" s="28" t="s">
        <v>46</v>
      </c>
      <c r="C17" s="28" t="s">
        <v>47</v>
      </c>
      <c r="D17" s="28" t="s">
        <v>56</v>
      </c>
      <c r="E17" s="67" t="s">
        <v>60</v>
      </c>
      <c r="F17" s="28" t="s">
        <v>57</v>
      </c>
      <c r="G17" s="28" t="s">
        <v>50</v>
      </c>
      <c r="H17" s="67" t="s">
        <v>121</v>
      </c>
      <c r="I17" s="67" t="s">
        <v>128</v>
      </c>
      <c r="J17" s="26">
        <v>1</v>
      </c>
      <c r="K17" s="61">
        <v>120000</v>
      </c>
      <c r="L17" s="62">
        <v>0</v>
      </c>
      <c r="M17" s="62">
        <v>0</v>
      </c>
      <c r="N17" s="31">
        <f t="shared" si="0"/>
        <v>120000</v>
      </c>
      <c r="O17" s="31"/>
      <c r="P17" s="31"/>
      <c r="Q17" s="31"/>
      <c r="R17" s="31">
        <f t="shared" si="1"/>
        <v>120000</v>
      </c>
      <c r="S17" s="63">
        <v>65425</v>
      </c>
      <c r="T17" s="33">
        <f t="shared" si="2"/>
        <v>0.54520833333333329</v>
      </c>
      <c r="U17" s="60">
        <v>65425</v>
      </c>
      <c r="V17" s="33">
        <f t="shared" si="3"/>
        <v>0.54520833333333329</v>
      </c>
      <c r="W17" s="62">
        <v>65425</v>
      </c>
      <c r="X17" s="33">
        <f t="shared" si="4"/>
        <v>0.54520833333333329</v>
      </c>
      <c r="Y17" s="5"/>
      <c r="Z17" s="5"/>
      <c r="AA17" s="5"/>
    </row>
    <row r="18" spans="1:27" ht="63" customHeight="1">
      <c r="A18" s="17" t="s">
        <v>45</v>
      </c>
      <c r="B18" s="28" t="s">
        <v>46</v>
      </c>
      <c r="C18" s="28" t="s">
        <v>47</v>
      </c>
      <c r="D18" s="28" t="s">
        <v>59</v>
      </c>
      <c r="E18" s="28" t="s">
        <v>60</v>
      </c>
      <c r="F18" s="28" t="s">
        <v>61</v>
      </c>
      <c r="G18" s="28" t="s">
        <v>50</v>
      </c>
      <c r="H18" s="67" t="s">
        <v>121</v>
      </c>
      <c r="I18" s="67" t="s">
        <v>128</v>
      </c>
      <c r="J18" s="73">
        <v>3</v>
      </c>
      <c r="K18" s="62">
        <v>21351000</v>
      </c>
      <c r="L18" s="59">
        <v>18000</v>
      </c>
      <c r="M18" s="59">
        <v>18000</v>
      </c>
      <c r="N18" s="21">
        <f t="shared" si="0"/>
        <v>21351000</v>
      </c>
      <c r="O18" s="22"/>
      <c r="P18" s="22"/>
      <c r="Q18" s="22"/>
      <c r="R18" s="21">
        <f t="shared" si="1"/>
        <v>21351000</v>
      </c>
      <c r="S18" s="59">
        <v>16662565.18</v>
      </c>
      <c r="T18" s="23">
        <f t="shared" si="2"/>
        <v>0.78041146456840427</v>
      </c>
      <c r="U18" s="64">
        <v>16662565.18</v>
      </c>
      <c r="V18" s="23">
        <f t="shared" si="3"/>
        <v>0.78041146456840427</v>
      </c>
      <c r="W18" s="59">
        <f>16662565.18</f>
        <v>16662565.18</v>
      </c>
      <c r="X18" s="23">
        <f t="shared" si="4"/>
        <v>0.78041146456840427</v>
      </c>
      <c r="Y18" s="5"/>
      <c r="Z18" s="5"/>
      <c r="AA18" s="5"/>
    </row>
    <row r="19" spans="1:27" ht="63" customHeight="1">
      <c r="A19" s="17" t="s">
        <v>45</v>
      </c>
      <c r="B19" s="28" t="s">
        <v>46</v>
      </c>
      <c r="C19" s="28" t="s">
        <v>47</v>
      </c>
      <c r="D19" s="67" t="s">
        <v>105</v>
      </c>
      <c r="E19" s="28" t="s">
        <v>60</v>
      </c>
      <c r="F19" s="67" t="s">
        <v>122</v>
      </c>
      <c r="G19" s="28" t="s">
        <v>50</v>
      </c>
      <c r="H19" s="67" t="s">
        <v>121</v>
      </c>
      <c r="I19" s="67" t="s">
        <v>128</v>
      </c>
      <c r="J19" s="73">
        <v>3</v>
      </c>
      <c r="K19" s="62">
        <v>475000</v>
      </c>
      <c r="L19" s="59">
        <v>0</v>
      </c>
      <c r="M19" s="59">
        <v>0</v>
      </c>
      <c r="N19" s="21">
        <f t="shared" si="0"/>
        <v>475000</v>
      </c>
      <c r="O19" s="22"/>
      <c r="P19" s="22"/>
      <c r="Q19" s="22"/>
      <c r="R19" s="21">
        <f t="shared" si="1"/>
        <v>475000</v>
      </c>
      <c r="S19" s="59">
        <v>0</v>
      </c>
      <c r="T19" s="23">
        <f t="shared" si="2"/>
        <v>0</v>
      </c>
      <c r="U19" s="64">
        <v>0</v>
      </c>
      <c r="V19" s="23">
        <f t="shared" si="3"/>
        <v>0</v>
      </c>
      <c r="W19" s="59">
        <v>0</v>
      </c>
      <c r="X19" s="23">
        <f t="shared" si="4"/>
        <v>0</v>
      </c>
      <c r="Y19" s="5"/>
      <c r="Z19" s="5"/>
      <c r="AA19" s="5"/>
    </row>
    <row r="20" spans="1:27" ht="63" customHeight="1">
      <c r="A20" s="17" t="s">
        <v>45</v>
      </c>
      <c r="B20" s="28" t="s">
        <v>46</v>
      </c>
      <c r="C20" s="28" t="s">
        <v>47</v>
      </c>
      <c r="D20" s="28" t="s">
        <v>62</v>
      </c>
      <c r="E20" s="28" t="s">
        <v>60</v>
      </c>
      <c r="F20" s="67" t="s">
        <v>129</v>
      </c>
      <c r="G20" s="28" t="s">
        <v>50</v>
      </c>
      <c r="H20" s="67" t="s">
        <v>121</v>
      </c>
      <c r="I20" s="67" t="s">
        <v>128</v>
      </c>
      <c r="J20" s="26">
        <v>1</v>
      </c>
      <c r="K20" s="62">
        <v>111000000</v>
      </c>
      <c r="L20" s="59">
        <v>11839000</v>
      </c>
      <c r="M20" s="59">
        <v>11839000</v>
      </c>
      <c r="N20" s="21">
        <f t="shared" si="0"/>
        <v>111000000</v>
      </c>
      <c r="O20" s="22"/>
      <c r="P20" s="22"/>
      <c r="Q20" s="22"/>
      <c r="R20" s="21">
        <f t="shared" si="1"/>
        <v>111000000</v>
      </c>
      <c r="S20" s="59">
        <v>86214757.629999995</v>
      </c>
      <c r="T20" s="23">
        <f t="shared" si="2"/>
        <v>0.77670952819819816</v>
      </c>
      <c r="U20" s="60">
        <v>86214757.629999995</v>
      </c>
      <c r="V20" s="23">
        <f t="shared" si="3"/>
        <v>0.77670952819819816</v>
      </c>
      <c r="W20" s="59">
        <v>85210876.959999993</v>
      </c>
      <c r="X20" s="23">
        <f t="shared" si="4"/>
        <v>0.76766555819819815</v>
      </c>
      <c r="Y20" s="5"/>
      <c r="Z20" s="5"/>
      <c r="AA20" s="5"/>
    </row>
    <row r="21" spans="1:27" ht="63" customHeight="1">
      <c r="A21" s="17" t="s">
        <v>45</v>
      </c>
      <c r="B21" s="28" t="s">
        <v>46</v>
      </c>
      <c r="C21" s="28" t="s">
        <v>47</v>
      </c>
      <c r="D21" s="28" t="s">
        <v>63</v>
      </c>
      <c r="E21" s="28" t="s">
        <v>60</v>
      </c>
      <c r="F21" s="28" t="s">
        <v>64</v>
      </c>
      <c r="G21" s="28" t="s">
        <v>50</v>
      </c>
      <c r="H21" s="67" t="s">
        <v>121</v>
      </c>
      <c r="I21" s="67" t="s">
        <v>128</v>
      </c>
      <c r="J21" s="26">
        <v>1</v>
      </c>
      <c r="K21" s="62">
        <v>131100000</v>
      </c>
      <c r="L21" s="59">
        <v>2306238</v>
      </c>
      <c r="M21" s="59">
        <v>2306238</v>
      </c>
      <c r="N21" s="21">
        <f t="shared" si="0"/>
        <v>131100000</v>
      </c>
      <c r="O21" s="22"/>
      <c r="P21" s="22"/>
      <c r="Q21" s="22"/>
      <c r="R21" s="21">
        <f t="shared" si="1"/>
        <v>131100000</v>
      </c>
      <c r="S21" s="59">
        <v>107146860.73</v>
      </c>
      <c r="T21" s="23">
        <f t="shared" si="2"/>
        <v>0.81729108108314263</v>
      </c>
      <c r="U21" s="60">
        <v>107146860.73</v>
      </c>
      <c r="V21" s="23">
        <f t="shared" si="3"/>
        <v>0.81729108108314263</v>
      </c>
      <c r="W21" s="59">
        <f>106394867.31</f>
        <v>106394867.31</v>
      </c>
      <c r="X21" s="23">
        <f t="shared" si="4"/>
        <v>0.81155505194508015</v>
      </c>
      <c r="Y21" s="5"/>
      <c r="Z21" s="5"/>
      <c r="AA21" s="5"/>
    </row>
    <row r="22" spans="1:27" ht="63" customHeight="1">
      <c r="A22" s="17" t="s">
        <v>45</v>
      </c>
      <c r="B22" s="28" t="s">
        <v>46</v>
      </c>
      <c r="C22" s="28" t="s">
        <v>47</v>
      </c>
      <c r="D22" s="28" t="s">
        <v>65</v>
      </c>
      <c r="E22" s="28" t="s">
        <v>60</v>
      </c>
      <c r="F22" s="28" t="s">
        <v>66</v>
      </c>
      <c r="G22" s="28" t="s">
        <v>50</v>
      </c>
      <c r="H22" s="67" t="s">
        <v>121</v>
      </c>
      <c r="I22" s="67" t="s">
        <v>128</v>
      </c>
      <c r="J22" s="73">
        <v>3</v>
      </c>
      <c r="K22" s="62">
        <v>24100000</v>
      </c>
      <c r="L22" s="59">
        <v>0</v>
      </c>
      <c r="M22" s="59">
        <v>0</v>
      </c>
      <c r="N22" s="21">
        <f t="shared" si="0"/>
        <v>24100000</v>
      </c>
      <c r="O22" s="22"/>
      <c r="P22" s="22"/>
      <c r="Q22" s="22"/>
      <c r="R22" s="21">
        <f t="shared" si="1"/>
        <v>24100000</v>
      </c>
      <c r="S22" s="59">
        <v>18822896.370000001</v>
      </c>
      <c r="T22" s="23">
        <f t="shared" si="2"/>
        <v>0.78103304439834031</v>
      </c>
      <c r="U22" s="64">
        <f>18822896.37</f>
        <v>18822896.370000001</v>
      </c>
      <c r="V22" s="23">
        <f t="shared" si="3"/>
        <v>0.78103304439834031</v>
      </c>
      <c r="W22" s="59">
        <v>18822896.370000001</v>
      </c>
      <c r="X22" s="23">
        <f t="shared" si="4"/>
        <v>0.78103304439834031</v>
      </c>
      <c r="Y22" s="5"/>
      <c r="Z22" s="5"/>
      <c r="AA22" s="5"/>
    </row>
    <row r="23" spans="1:27" ht="63" hidden="1" customHeight="1">
      <c r="A23" s="17" t="s">
        <v>45</v>
      </c>
      <c r="B23" s="28" t="s">
        <v>46</v>
      </c>
      <c r="C23" s="28" t="s">
        <v>67</v>
      </c>
      <c r="D23" s="28" t="s">
        <v>68</v>
      </c>
      <c r="E23" s="28" t="s">
        <v>60</v>
      </c>
      <c r="F23" s="28" t="s">
        <v>69</v>
      </c>
      <c r="G23" s="28" t="s">
        <v>50</v>
      </c>
      <c r="H23" s="28" t="s">
        <v>51</v>
      </c>
      <c r="I23" s="67" t="s">
        <v>128</v>
      </c>
      <c r="J23" s="19">
        <v>3</v>
      </c>
      <c r="K23" s="30"/>
      <c r="L23" s="20"/>
      <c r="M23" s="20"/>
      <c r="N23" s="21">
        <f t="shared" si="0"/>
        <v>0</v>
      </c>
      <c r="O23" s="22"/>
      <c r="P23" s="22"/>
      <c r="Q23" s="22"/>
      <c r="R23" s="21">
        <f t="shared" si="1"/>
        <v>0</v>
      </c>
      <c r="S23" s="20"/>
      <c r="T23" s="23">
        <f t="shared" si="2"/>
        <v>0</v>
      </c>
      <c r="U23" s="24"/>
      <c r="V23" s="23">
        <f t="shared" si="3"/>
        <v>0</v>
      </c>
      <c r="W23" s="20"/>
      <c r="X23" s="23">
        <f t="shared" si="4"/>
        <v>0</v>
      </c>
      <c r="Y23" s="5"/>
      <c r="Z23" s="5"/>
      <c r="AA23" s="5"/>
    </row>
    <row r="24" spans="1:27" ht="63" customHeight="1">
      <c r="A24" s="17" t="s">
        <v>45</v>
      </c>
      <c r="B24" s="28" t="s">
        <v>46</v>
      </c>
      <c r="C24" s="28" t="s">
        <v>70</v>
      </c>
      <c r="D24" s="28" t="s">
        <v>71</v>
      </c>
      <c r="E24" s="28" t="s">
        <v>60</v>
      </c>
      <c r="F24" s="28" t="s">
        <v>72</v>
      </c>
      <c r="G24" s="28" t="s">
        <v>50</v>
      </c>
      <c r="H24" s="67" t="s">
        <v>121</v>
      </c>
      <c r="I24" s="67" t="s">
        <v>128</v>
      </c>
      <c r="J24" s="26">
        <v>1</v>
      </c>
      <c r="K24" s="61">
        <v>120000</v>
      </c>
      <c r="L24" s="59">
        <v>0</v>
      </c>
      <c r="M24" s="59">
        <v>0</v>
      </c>
      <c r="N24" s="21">
        <f t="shared" si="0"/>
        <v>120000</v>
      </c>
      <c r="O24" s="21"/>
      <c r="P24" s="21"/>
      <c r="Q24" s="21"/>
      <c r="R24" s="21">
        <f t="shared" si="1"/>
        <v>120000</v>
      </c>
      <c r="S24" s="62">
        <v>99786</v>
      </c>
      <c r="T24" s="23">
        <f t="shared" si="2"/>
        <v>0.83155000000000001</v>
      </c>
      <c r="U24" s="60">
        <v>99786</v>
      </c>
      <c r="V24" s="23">
        <f t="shared" si="3"/>
        <v>0.83155000000000001</v>
      </c>
      <c r="W24" s="59">
        <v>99786</v>
      </c>
      <c r="X24" s="23">
        <f t="shared" si="4"/>
        <v>0.83155000000000001</v>
      </c>
      <c r="Y24" s="5"/>
      <c r="Z24" s="5"/>
      <c r="AA24" s="5"/>
    </row>
    <row r="25" spans="1:27" ht="63" customHeight="1">
      <c r="A25" s="17" t="s">
        <v>45</v>
      </c>
      <c r="B25" s="28" t="s">
        <v>46</v>
      </c>
      <c r="C25" s="28" t="s">
        <v>73</v>
      </c>
      <c r="D25" s="28" t="s">
        <v>74</v>
      </c>
      <c r="E25" s="67" t="s">
        <v>130</v>
      </c>
      <c r="F25" s="28" t="s">
        <v>75</v>
      </c>
      <c r="G25" s="67" t="s">
        <v>131</v>
      </c>
      <c r="H25" s="67" t="s">
        <v>121</v>
      </c>
      <c r="I25" s="67" t="s">
        <v>128</v>
      </c>
      <c r="J25" s="26">
        <v>1</v>
      </c>
      <c r="K25" s="62">
        <f>115250000-K26</f>
        <v>109500000</v>
      </c>
      <c r="L25" s="59">
        <f>32176000</f>
        <v>32176000</v>
      </c>
      <c r="M25" s="59">
        <v>32176000</v>
      </c>
      <c r="N25" s="21">
        <f t="shared" si="0"/>
        <v>109500000</v>
      </c>
      <c r="O25" s="21"/>
      <c r="P25" s="21"/>
      <c r="Q25" s="21">
        <f>-10601125.05-25847125.63</f>
        <v>-36448250.68</v>
      </c>
      <c r="R25" s="21">
        <f t="shared" si="1"/>
        <v>73051749.319999993</v>
      </c>
      <c r="S25" s="59">
        <f>60422376.86-S26</f>
        <v>56113473.159999996</v>
      </c>
      <c r="T25" s="23">
        <f t="shared" si="2"/>
        <v>0.76813318890143722</v>
      </c>
      <c r="U25" s="60">
        <f>60342376.86-U26</f>
        <v>56033473.159999996</v>
      </c>
      <c r="V25" s="23">
        <f t="shared" si="3"/>
        <v>0.76703807481115638</v>
      </c>
      <c r="W25" s="59">
        <f>60159209.7-W26</f>
        <v>55850306</v>
      </c>
      <c r="X25" s="23">
        <f t="shared" si="4"/>
        <v>0.7645307130887472</v>
      </c>
      <c r="Y25" s="5"/>
      <c r="Z25" s="5"/>
      <c r="AA25" s="5"/>
    </row>
    <row r="26" spans="1:27" ht="63" customHeight="1">
      <c r="A26" s="17" t="s">
        <v>45</v>
      </c>
      <c r="B26" s="28" t="s">
        <v>46</v>
      </c>
      <c r="C26" s="28" t="s">
        <v>73</v>
      </c>
      <c r="D26" s="28" t="s">
        <v>74</v>
      </c>
      <c r="E26" s="67" t="s">
        <v>130</v>
      </c>
      <c r="F26" s="28" t="s">
        <v>75</v>
      </c>
      <c r="G26" s="67" t="s">
        <v>131</v>
      </c>
      <c r="H26" s="67" t="s">
        <v>121</v>
      </c>
      <c r="I26" s="67" t="s">
        <v>128</v>
      </c>
      <c r="J26" s="73">
        <v>3</v>
      </c>
      <c r="K26" s="62">
        <f>5750000</f>
        <v>5750000</v>
      </c>
      <c r="L26" s="59">
        <v>0</v>
      </c>
      <c r="M26" s="59">
        <v>0</v>
      </c>
      <c r="N26" s="21">
        <f t="shared" si="0"/>
        <v>5750000</v>
      </c>
      <c r="O26" s="21"/>
      <c r="P26" s="21"/>
      <c r="Q26" s="71"/>
      <c r="R26" s="21">
        <f t="shared" si="1"/>
        <v>5750000</v>
      </c>
      <c r="S26" s="59">
        <f>168922.36+4139981.34</f>
        <v>4308903.7</v>
      </c>
      <c r="T26" s="23">
        <f t="shared" si="2"/>
        <v>0.74937455652173912</v>
      </c>
      <c r="U26" s="64">
        <f>168922.36+4139981.34</f>
        <v>4308903.7</v>
      </c>
      <c r="V26" s="23">
        <f t="shared" si="3"/>
        <v>0.74937455652173912</v>
      </c>
      <c r="W26" s="59">
        <f>168922.36+4139981.34</f>
        <v>4308903.7</v>
      </c>
      <c r="X26" s="23">
        <f t="shared" si="4"/>
        <v>0.74937455652173912</v>
      </c>
      <c r="Y26" s="5"/>
      <c r="Z26" s="5"/>
      <c r="AA26" s="5"/>
    </row>
    <row r="27" spans="1:27" ht="63" hidden="1" customHeight="1">
      <c r="A27" s="17" t="s">
        <v>45</v>
      </c>
      <c r="B27" s="18" t="s">
        <v>46</v>
      </c>
      <c r="C27" s="18" t="s">
        <v>73</v>
      </c>
      <c r="D27" s="18" t="s">
        <v>74</v>
      </c>
      <c r="E27" s="18" t="s">
        <v>60</v>
      </c>
      <c r="F27" s="18" t="s">
        <v>75</v>
      </c>
      <c r="G27" s="18" t="s">
        <v>50</v>
      </c>
      <c r="H27" s="18" t="s">
        <v>76</v>
      </c>
      <c r="I27" s="67" t="s">
        <v>128</v>
      </c>
      <c r="J27" s="26">
        <v>1</v>
      </c>
      <c r="K27" s="20"/>
      <c r="L27" s="20"/>
      <c r="M27" s="20"/>
      <c r="N27" s="21">
        <f t="shared" si="0"/>
        <v>0</v>
      </c>
      <c r="O27" s="21"/>
      <c r="P27" s="21"/>
      <c r="Q27" s="21"/>
      <c r="R27" s="21">
        <f t="shared" si="1"/>
        <v>0</v>
      </c>
      <c r="S27" s="20"/>
      <c r="T27" s="23">
        <f t="shared" si="2"/>
        <v>0</v>
      </c>
      <c r="U27" s="27"/>
      <c r="V27" s="23">
        <f t="shared" si="3"/>
        <v>0</v>
      </c>
      <c r="W27" s="20"/>
      <c r="X27" s="23">
        <f t="shared" si="4"/>
        <v>0</v>
      </c>
      <c r="Y27" s="5"/>
      <c r="Z27" s="5"/>
      <c r="AA27" s="5"/>
    </row>
    <row r="28" spans="1:27" ht="63" customHeight="1">
      <c r="A28" s="17" t="s">
        <v>45</v>
      </c>
      <c r="B28" s="18" t="s">
        <v>46</v>
      </c>
      <c r="C28" s="18" t="s">
        <v>77</v>
      </c>
      <c r="D28" s="18" t="s">
        <v>78</v>
      </c>
      <c r="E28" s="58" t="s">
        <v>132</v>
      </c>
      <c r="F28" s="18" t="s">
        <v>79</v>
      </c>
      <c r="G28" s="18" t="s">
        <v>50</v>
      </c>
      <c r="H28" s="58" t="s">
        <v>121</v>
      </c>
      <c r="I28" s="67" t="s">
        <v>128</v>
      </c>
      <c r="J28" s="26">
        <v>1</v>
      </c>
      <c r="K28" s="59">
        <v>73000</v>
      </c>
      <c r="L28" s="59">
        <v>0</v>
      </c>
      <c r="M28" s="59">
        <v>0</v>
      </c>
      <c r="N28" s="21">
        <f t="shared" si="0"/>
        <v>73000</v>
      </c>
      <c r="O28" s="21"/>
      <c r="P28" s="21"/>
      <c r="Q28" s="21"/>
      <c r="R28" s="21">
        <f t="shared" si="1"/>
        <v>73000</v>
      </c>
      <c r="S28" s="59">
        <v>37495.96</v>
      </c>
      <c r="T28" s="23">
        <f t="shared" si="2"/>
        <v>0.51364328767123291</v>
      </c>
      <c r="U28" s="60">
        <v>37495.96</v>
      </c>
      <c r="V28" s="23">
        <f t="shared" si="3"/>
        <v>0.51364328767123291</v>
      </c>
      <c r="W28" s="59">
        <v>37495.96</v>
      </c>
      <c r="X28" s="23">
        <f t="shared" si="4"/>
        <v>0.51364328767123291</v>
      </c>
      <c r="Y28" s="5"/>
      <c r="Z28" s="5"/>
      <c r="AA28" s="5"/>
    </row>
    <row r="29" spans="1:27" ht="63" hidden="1" customHeight="1">
      <c r="A29" s="17" t="s">
        <v>45</v>
      </c>
      <c r="B29" s="18" t="s">
        <v>46</v>
      </c>
      <c r="C29" s="18" t="s">
        <v>77</v>
      </c>
      <c r="D29" s="18" t="s">
        <v>78</v>
      </c>
      <c r="E29" s="18" t="s">
        <v>60</v>
      </c>
      <c r="F29" s="18" t="s">
        <v>79</v>
      </c>
      <c r="G29" s="18" t="s">
        <v>50</v>
      </c>
      <c r="H29" s="18" t="s">
        <v>76</v>
      </c>
      <c r="I29" s="18" t="s">
        <v>58</v>
      </c>
      <c r="J29" s="26">
        <v>1</v>
      </c>
      <c r="K29" s="20"/>
      <c r="L29" s="20"/>
      <c r="M29" s="20"/>
      <c r="N29" s="21">
        <f t="shared" si="0"/>
        <v>0</v>
      </c>
      <c r="O29" s="21"/>
      <c r="P29" s="21"/>
      <c r="Q29" s="21"/>
      <c r="R29" s="21">
        <f t="shared" si="1"/>
        <v>0</v>
      </c>
      <c r="S29" s="20"/>
      <c r="T29" s="23">
        <f t="shared" si="2"/>
        <v>0</v>
      </c>
      <c r="U29" s="27"/>
      <c r="V29" s="23">
        <f t="shared" si="3"/>
        <v>0</v>
      </c>
      <c r="W29" s="20"/>
      <c r="X29" s="23">
        <f t="shared" si="4"/>
        <v>0</v>
      </c>
      <c r="Y29" s="5"/>
      <c r="Z29" s="5"/>
      <c r="AA29" s="5"/>
    </row>
    <row r="30" spans="1:27" ht="16.5" customHeight="1">
      <c r="A30" s="94" t="s">
        <v>80</v>
      </c>
      <c r="B30" s="83"/>
      <c r="C30" s="83"/>
      <c r="D30" s="83"/>
      <c r="E30" s="83"/>
      <c r="F30" s="83"/>
      <c r="G30" s="83"/>
      <c r="H30" s="83"/>
      <c r="I30" s="83"/>
      <c r="J30" s="84"/>
      <c r="K30" s="34">
        <f t="shared" ref="K30:N30" si="5">SUM(K14:K29)</f>
        <v>943786000</v>
      </c>
      <c r="L30" s="34">
        <f t="shared" si="5"/>
        <v>66557070.450000003</v>
      </c>
      <c r="M30" s="34">
        <f t="shared" si="5"/>
        <v>66557070.450000003</v>
      </c>
      <c r="N30" s="34">
        <f t="shared" si="5"/>
        <v>943786000</v>
      </c>
      <c r="O30" s="34">
        <f t="shared" ref="O30:P30" si="6">SUM(O14:O28)</f>
        <v>0</v>
      </c>
      <c r="P30" s="34">
        <f t="shared" si="6"/>
        <v>0</v>
      </c>
      <c r="Q30" s="34">
        <f t="shared" ref="Q30:S30" si="7">SUM(Q14:Q29)</f>
        <v>-36448250.68</v>
      </c>
      <c r="R30" s="34" t="e">
        <f t="shared" si="7"/>
        <v>#VALUE!</v>
      </c>
      <c r="S30" s="34">
        <f t="shared" si="7"/>
        <v>678907292.29000008</v>
      </c>
      <c r="T30" s="35" t="e">
        <f t="shared" si="2"/>
        <v>#VALUE!</v>
      </c>
      <c r="U30" s="34">
        <f>SUM(U14:U29)</f>
        <v>678827292.29000008</v>
      </c>
      <c r="V30" s="35" t="e">
        <f t="shared" si="3"/>
        <v>#VALUE!</v>
      </c>
      <c r="W30" s="34">
        <f>SUM(W14:W29)</f>
        <v>675461060.41000009</v>
      </c>
      <c r="X30" s="35" t="e">
        <f t="shared" si="4"/>
        <v>#VALUE!</v>
      </c>
      <c r="Y30" s="5"/>
      <c r="Z30" s="5"/>
      <c r="AA30" s="5"/>
    </row>
    <row r="31" spans="1:27" ht="15" customHeight="1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4"/>
      <c r="L31" s="34"/>
      <c r="M31" s="34"/>
      <c r="N31" s="34"/>
      <c r="O31" s="34"/>
      <c r="P31" s="34"/>
      <c r="Q31" s="34"/>
      <c r="R31" s="34"/>
      <c r="S31" s="34"/>
      <c r="T31" s="35"/>
      <c r="U31" s="34"/>
      <c r="V31" s="35"/>
      <c r="W31" s="34"/>
      <c r="X31" s="35"/>
      <c r="Y31" s="5"/>
      <c r="Z31" s="5"/>
      <c r="AA31" s="5"/>
    </row>
    <row r="32" spans="1:27" ht="15" customHeight="1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8"/>
      <c r="L32" s="38"/>
      <c r="M32" s="38"/>
      <c r="N32" s="38"/>
      <c r="O32" s="38"/>
      <c r="P32" s="38"/>
      <c r="Q32" s="38"/>
      <c r="R32" s="38"/>
      <c r="S32" s="38"/>
      <c r="T32" s="33"/>
      <c r="U32" s="38"/>
      <c r="V32" s="33"/>
      <c r="W32" s="38"/>
      <c r="X32" s="33"/>
      <c r="Y32" s="5"/>
      <c r="Z32" s="5"/>
      <c r="AA32" s="5"/>
    </row>
    <row r="33" spans="1:27" ht="54" customHeight="1">
      <c r="A33" s="17" t="s">
        <v>81</v>
      </c>
      <c r="B33" s="28" t="s">
        <v>82</v>
      </c>
      <c r="C33" s="28" t="s">
        <v>47</v>
      </c>
      <c r="D33" s="28" t="s">
        <v>83</v>
      </c>
      <c r="E33" s="28" t="s">
        <v>84</v>
      </c>
      <c r="F33" s="28" t="s">
        <v>85</v>
      </c>
      <c r="G33" s="28" t="s">
        <v>50</v>
      </c>
      <c r="H33" s="67" t="s">
        <v>123</v>
      </c>
      <c r="I33" s="67" t="s">
        <v>133</v>
      </c>
      <c r="J33" s="39">
        <v>4</v>
      </c>
      <c r="K33" s="65">
        <v>4000000</v>
      </c>
      <c r="L33" s="59">
        <v>0</v>
      </c>
      <c r="M33" s="59">
        <v>4000000</v>
      </c>
      <c r="N33" s="21">
        <f t="shared" ref="N33:N83" si="8">K33+L33-M33</f>
        <v>0</v>
      </c>
      <c r="O33" s="21"/>
      <c r="P33" s="21"/>
      <c r="Q33" s="21"/>
      <c r="R33" s="21">
        <f t="shared" ref="R33:R83" si="9">N33-O33+P33+Q33</f>
        <v>0</v>
      </c>
      <c r="S33" s="65">
        <v>0</v>
      </c>
      <c r="T33" s="23">
        <f t="shared" ref="T33:T85" si="10">IF(R33&gt;0,S33/R33,0)</f>
        <v>0</v>
      </c>
      <c r="U33" s="66">
        <v>0</v>
      </c>
      <c r="V33" s="23">
        <f t="shared" ref="V33:V85" si="11">IF(R33&gt;0,U33/R33,0)</f>
        <v>0</v>
      </c>
      <c r="W33" s="59">
        <v>0</v>
      </c>
      <c r="X33" s="23">
        <f t="shared" ref="X33:X59" si="12">IF(R33&gt;0,W33/R33,0)</f>
        <v>0</v>
      </c>
      <c r="Y33" s="5"/>
      <c r="Z33" s="5"/>
      <c r="AA33" s="5"/>
    </row>
    <row r="34" spans="1:27" ht="54" hidden="1" customHeight="1">
      <c r="A34" s="17" t="s">
        <v>81</v>
      </c>
      <c r="B34" s="28" t="s">
        <v>82</v>
      </c>
      <c r="C34" s="28" t="s">
        <v>47</v>
      </c>
      <c r="D34" s="28" t="s">
        <v>87</v>
      </c>
      <c r="E34" s="28" t="s">
        <v>84</v>
      </c>
      <c r="F34" s="28" t="s">
        <v>85</v>
      </c>
      <c r="G34" s="28" t="s">
        <v>50</v>
      </c>
      <c r="H34" s="28" t="s">
        <v>88</v>
      </c>
      <c r="I34" s="67" t="s">
        <v>133</v>
      </c>
      <c r="J34" s="19">
        <v>3</v>
      </c>
      <c r="K34" s="40"/>
      <c r="L34" s="20"/>
      <c r="M34" s="20"/>
      <c r="N34" s="21">
        <f t="shared" si="8"/>
        <v>0</v>
      </c>
      <c r="O34" s="21"/>
      <c r="P34" s="21"/>
      <c r="Q34" s="21"/>
      <c r="R34" s="21">
        <f t="shared" si="9"/>
        <v>0</v>
      </c>
      <c r="S34" s="40"/>
      <c r="T34" s="23">
        <f t="shared" si="10"/>
        <v>0</v>
      </c>
      <c r="U34" s="24"/>
      <c r="V34" s="23">
        <f t="shared" si="11"/>
        <v>0</v>
      </c>
      <c r="W34" s="20"/>
      <c r="X34" s="23">
        <f t="shared" si="12"/>
        <v>0</v>
      </c>
      <c r="Y34" s="5"/>
      <c r="Z34" s="5"/>
      <c r="AA34" s="5"/>
    </row>
    <row r="35" spans="1:27" ht="54" hidden="1" customHeight="1">
      <c r="A35" s="17" t="s">
        <v>81</v>
      </c>
      <c r="B35" s="28" t="s">
        <v>82</v>
      </c>
      <c r="C35" s="28" t="s">
        <v>47</v>
      </c>
      <c r="D35" s="28" t="s">
        <v>89</v>
      </c>
      <c r="E35" s="28" t="s">
        <v>84</v>
      </c>
      <c r="F35" s="28" t="s">
        <v>85</v>
      </c>
      <c r="G35" s="28" t="s">
        <v>50</v>
      </c>
      <c r="H35" s="28" t="s">
        <v>88</v>
      </c>
      <c r="I35" s="67" t="s">
        <v>133</v>
      </c>
      <c r="J35" s="39">
        <v>4</v>
      </c>
      <c r="K35" s="40"/>
      <c r="L35" s="20"/>
      <c r="M35" s="20"/>
      <c r="N35" s="21">
        <f t="shared" si="8"/>
        <v>0</v>
      </c>
      <c r="O35" s="21"/>
      <c r="P35" s="21"/>
      <c r="Q35" s="21"/>
      <c r="R35" s="21">
        <f t="shared" si="9"/>
        <v>0</v>
      </c>
      <c r="S35" s="40"/>
      <c r="T35" s="23">
        <f t="shared" si="10"/>
        <v>0</v>
      </c>
      <c r="U35" s="41"/>
      <c r="V35" s="23">
        <f t="shared" si="11"/>
        <v>0</v>
      </c>
      <c r="W35" s="20"/>
      <c r="X35" s="23">
        <f t="shared" si="12"/>
        <v>0</v>
      </c>
      <c r="Y35" s="5"/>
      <c r="Z35" s="5"/>
      <c r="AA35" s="5"/>
    </row>
    <row r="36" spans="1:27" ht="54" customHeight="1">
      <c r="A36" s="17" t="s">
        <v>81</v>
      </c>
      <c r="B36" s="28" t="s">
        <v>82</v>
      </c>
      <c r="C36" s="28" t="s">
        <v>47</v>
      </c>
      <c r="D36" s="67" t="s">
        <v>134</v>
      </c>
      <c r="E36" s="28" t="s">
        <v>84</v>
      </c>
      <c r="F36" s="28" t="s">
        <v>85</v>
      </c>
      <c r="G36" s="28" t="s">
        <v>50</v>
      </c>
      <c r="H36" s="67" t="s">
        <v>135</v>
      </c>
      <c r="I36" s="67" t="s">
        <v>133</v>
      </c>
      <c r="J36" s="73">
        <v>3</v>
      </c>
      <c r="K36" s="65">
        <v>0</v>
      </c>
      <c r="L36" s="59">
        <v>30090</v>
      </c>
      <c r="M36" s="59">
        <v>0</v>
      </c>
      <c r="N36" s="21">
        <f t="shared" si="8"/>
        <v>30090</v>
      </c>
      <c r="O36" s="21"/>
      <c r="P36" s="21"/>
      <c r="Q36" s="21"/>
      <c r="R36" s="21">
        <f t="shared" si="9"/>
        <v>30090</v>
      </c>
      <c r="S36" s="65">
        <v>30090</v>
      </c>
      <c r="T36" s="23">
        <f t="shared" si="10"/>
        <v>1</v>
      </c>
      <c r="U36" s="64">
        <v>30090</v>
      </c>
      <c r="V36" s="23">
        <f t="shared" si="11"/>
        <v>1</v>
      </c>
      <c r="W36" s="59">
        <v>30090</v>
      </c>
      <c r="X36" s="23">
        <f t="shared" si="12"/>
        <v>1</v>
      </c>
      <c r="Y36" s="5"/>
      <c r="Z36" s="5"/>
      <c r="AA36" s="5"/>
    </row>
    <row r="37" spans="1:27" ht="54" hidden="1" customHeight="1">
      <c r="A37" s="17" t="s">
        <v>81</v>
      </c>
      <c r="B37" s="28" t="s">
        <v>82</v>
      </c>
      <c r="C37" s="28" t="s">
        <v>47</v>
      </c>
      <c r="D37" s="28" t="s">
        <v>90</v>
      </c>
      <c r="E37" s="28" t="s">
        <v>84</v>
      </c>
      <c r="F37" s="28" t="s">
        <v>85</v>
      </c>
      <c r="G37" s="28" t="s">
        <v>50</v>
      </c>
      <c r="H37" s="28" t="s">
        <v>86</v>
      </c>
      <c r="I37" s="67" t="s">
        <v>133</v>
      </c>
      <c r="J37" s="73">
        <v>3</v>
      </c>
      <c r="K37" s="65"/>
      <c r="L37" s="20"/>
      <c r="M37" s="20"/>
      <c r="N37" s="21">
        <f t="shared" si="8"/>
        <v>0</v>
      </c>
      <c r="O37" s="21"/>
      <c r="P37" s="21"/>
      <c r="Q37" s="21"/>
      <c r="R37" s="21">
        <f t="shared" si="9"/>
        <v>0</v>
      </c>
      <c r="S37" s="40"/>
      <c r="T37" s="23">
        <f t="shared" si="10"/>
        <v>0</v>
      </c>
      <c r="U37" s="46"/>
      <c r="V37" s="23">
        <f t="shared" si="11"/>
        <v>0</v>
      </c>
      <c r="W37" s="20"/>
      <c r="X37" s="23">
        <f t="shared" si="12"/>
        <v>0</v>
      </c>
      <c r="Y37" s="5"/>
      <c r="Z37" s="5"/>
      <c r="AA37" s="5"/>
    </row>
    <row r="38" spans="1:27" ht="54" hidden="1" customHeight="1">
      <c r="A38" s="42" t="s">
        <v>81</v>
      </c>
      <c r="B38" s="28" t="s">
        <v>82</v>
      </c>
      <c r="C38" s="70" t="s">
        <v>47</v>
      </c>
      <c r="D38" s="70" t="s">
        <v>90</v>
      </c>
      <c r="E38" s="28" t="s">
        <v>84</v>
      </c>
      <c r="F38" s="28" t="s">
        <v>85</v>
      </c>
      <c r="G38" s="70" t="s">
        <v>50</v>
      </c>
      <c r="H38" s="70" t="s">
        <v>88</v>
      </c>
      <c r="I38" s="67" t="s">
        <v>133</v>
      </c>
      <c r="J38" s="77">
        <v>4</v>
      </c>
      <c r="K38" s="65"/>
      <c r="L38" s="43"/>
      <c r="M38" s="43"/>
      <c r="N38" s="21">
        <f t="shared" si="8"/>
        <v>0</v>
      </c>
      <c r="O38" s="44"/>
      <c r="P38" s="44"/>
      <c r="Q38" s="44"/>
      <c r="R38" s="21">
        <f t="shared" si="9"/>
        <v>0</v>
      </c>
      <c r="S38" s="45"/>
      <c r="T38" s="23">
        <f t="shared" si="10"/>
        <v>0</v>
      </c>
      <c r="U38" s="78"/>
      <c r="V38" s="23">
        <f t="shared" si="11"/>
        <v>0</v>
      </c>
      <c r="W38" s="43"/>
      <c r="X38" s="23">
        <f t="shared" si="12"/>
        <v>0</v>
      </c>
      <c r="Y38" s="5"/>
      <c r="Z38" s="5"/>
      <c r="AA38" s="5"/>
    </row>
    <row r="39" spans="1:27" ht="54" customHeight="1">
      <c r="A39" s="17" t="s">
        <v>81</v>
      </c>
      <c r="B39" s="28" t="s">
        <v>82</v>
      </c>
      <c r="C39" s="28" t="s">
        <v>47</v>
      </c>
      <c r="D39" s="28" t="s">
        <v>91</v>
      </c>
      <c r="E39" s="28" t="s">
        <v>84</v>
      </c>
      <c r="F39" s="28" t="s">
        <v>85</v>
      </c>
      <c r="G39" s="28" t="s">
        <v>50</v>
      </c>
      <c r="H39" s="67" t="s">
        <v>123</v>
      </c>
      <c r="I39" s="67" t="s">
        <v>133</v>
      </c>
      <c r="J39" s="73">
        <v>3</v>
      </c>
      <c r="K39" s="61">
        <v>0</v>
      </c>
      <c r="L39" s="59">
        <v>564822.43999999994</v>
      </c>
      <c r="M39" s="59">
        <v>0</v>
      </c>
      <c r="N39" s="21">
        <f t="shared" si="8"/>
        <v>564822.43999999994</v>
      </c>
      <c r="O39" s="22"/>
      <c r="P39" s="22"/>
      <c r="Q39" s="22"/>
      <c r="R39" s="21">
        <f t="shared" si="9"/>
        <v>564822.43999999994</v>
      </c>
      <c r="S39" s="63">
        <f>564822.44</f>
        <v>564822.43999999994</v>
      </c>
      <c r="T39" s="23">
        <f t="shared" si="10"/>
        <v>1</v>
      </c>
      <c r="U39" s="64">
        <f>564822.44</f>
        <v>564822.43999999994</v>
      </c>
      <c r="V39" s="23">
        <f t="shared" si="11"/>
        <v>1</v>
      </c>
      <c r="W39" s="59">
        <v>564822.43999999994</v>
      </c>
      <c r="X39" s="23">
        <f t="shared" si="12"/>
        <v>1</v>
      </c>
      <c r="Y39" s="5"/>
      <c r="Z39" s="5"/>
      <c r="AA39" s="5"/>
    </row>
    <row r="40" spans="1:27" ht="54" customHeight="1">
      <c r="A40" s="17" t="s">
        <v>81</v>
      </c>
      <c r="B40" s="28" t="s">
        <v>82</v>
      </c>
      <c r="C40" s="28" t="s">
        <v>47</v>
      </c>
      <c r="D40" s="28" t="s">
        <v>91</v>
      </c>
      <c r="E40" s="28" t="s">
        <v>84</v>
      </c>
      <c r="F40" s="28" t="s">
        <v>85</v>
      </c>
      <c r="G40" s="28" t="s">
        <v>50</v>
      </c>
      <c r="H40" s="67" t="s">
        <v>123</v>
      </c>
      <c r="I40" s="67" t="s">
        <v>133</v>
      </c>
      <c r="J40" s="39">
        <v>4</v>
      </c>
      <c r="K40" s="61">
        <v>0</v>
      </c>
      <c r="L40" s="59">
        <v>675695.59</v>
      </c>
      <c r="M40" s="59">
        <v>0</v>
      </c>
      <c r="N40" s="21">
        <f t="shared" si="8"/>
        <v>675695.59</v>
      </c>
      <c r="O40" s="22"/>
      <c r="P40" s="22"/>
      <c r="Q40" s="22"/>
      <c r="R40" s="21">
        <f t="shared" si="9"/>
        <v>675695.59</v>
      </c>
      <c r="S40" s="32">
        <f>305000+370695.59</f>
        <v>675695.59000000008</v>
      </c>
      <c r="T40" s="23">
        <f t="shared" si="10"/>
        <v>1.0000000000000002</v>
      </c>
      <c r="U40" s="66">
        <v>370695.59</v>
      </c>
      <c r="V40" s="23">
        <f t="shared" si="11"/>
        <v>0.54861330381037421</v>
      </c>
      <c r="W40" s="59">
        <v>370695.59</v>
      </c>
      <c r="X40" s="23">
        <f t="shared" si="12"/>
        <v>0.54861330381037421</v>
      </c>
      <c r="Y40" s="5"/>
      <c r="Z40" s="5"/>
      <c r="AA40" s="5"/>
    </row>
    <row r="41" spans="1:27" ht="54" customHeight="1">
      <c r="A41" s="17" t="s">
        <v>81</v>
      </c>
      <c r="B41" s="28" t="s">
        <v>82</v>
      </c>
      <c r="C41" s="28" t="s">
        <v>47</v>
      </c>
      <c r="D41" s="28" t="s">
        <v>91</v>
      </c>
      <c r="E41" s="28" t="s">
        <v>84</v>
      </c>
      <c r="F41" s="28" t="s">
        <v>85</v>
      </c>
      <c r="G41" s="28" t="s">
        <v>50</v>
      </c>
      <c r="H41" s="67" t="s">
        <v>135</v>
      </c>
      <c r="I41" s="67" t="s">
        <v>133</v>
      </c>
      <c r="J41" s="39">
        <v>4</v>
      </c>
      <c r="K41" s="61">
        <v>0</v>
      </c>
      <c r="L41" s="59">
        <v>134178.35</v>
      </c>
      <c r="M41" s="59">
        <v>0</v>
      </c>
      <c r="N41" s="21">
        <f t="shared" si="8"/>
        <v>134178.35</v>
      </c>
      <c r="O41" s="22"/>
      <c r="P41" s="22"/>
      <c r="Q41" s="22"/>
      <c r="R41" s="21">
        <f t="shared" si="9"/>
        <v>134178.35</v>
      </c>
      <c r="S41" s="63">
        <v>0</v>
      </c>
      <c r="T41" s="23">
        <f t="shared" si="10"/>
        <v>0</v>
      </c>
      <c r="U41" s="66">
        <v>0</v>
      </c>
      <c r="V41" s="23">
        <f t="shared" si="11"/>
        <v>0</v>
      </c>
      <c r="W41" s="59">
        <v>0</v>
      </c>
      <c r="X41" s="23">
        <f t="shared" si="12"/>
        <v>0</v>
      </c>
      <c r="Y41" s="5"/>
      <c r="Z41" s="5"/>
      <c r="AA41" s="5"/>
    </row>
    <row r="42" spans="1:27" ht="54" customHeight="1">
      <c r="A42" s="17" t="s">
        <v>81</v>
      </c>
      <c r="B42" s="28" t="s">
        <v>82</v>
      </c>
      <c r="C42" s="28" t="s">
        <v>47</v>
      </c>
      <c r="D42" s="67" t="s">
        <v>92</v>
      </c>
      <c r="E42" s="28" t="s">
        <v>84</v>
      </c>
      <c r="F42" s="67" t="s">
        <v>93</v>
      </c>
      <c r="G42" s="28" t="s">
        <v>50</v>
      </c>
      <c r="H42" s="67" t="s">
        <v>123</v>
      </c>
      <c r="I42" s="67" t="s">
        <v>133</v>
      </c>
      <c r="J42" s="39">
        <v>4</v>
      </c>
      <c r="K42" s="61">
        <v>16520000</v>
      </c>
      <c r="L42" s="59">
        <v>0</v>
      </c>
      <c r="M42" s="59">
        <v>13314189.09</v>
      </c>
      <c r="N42" s="21">
        <f t="shared" si="8"/>
        <v>3205810.91</v>
      </c>
      <c r="O42" s="21"/>
      <c r="P42" s="21"/>
      <c r="Q42" s="21"/>
      <c r="R42" s="21">
        <f t="shared" si="9"/>
        <v>3205810.91</v>
      </c>
      <c r="S42" s="61">
        <v>0</v>
      </c>
      <c r="T42" s="23">
        <f t="shared" si="10"/>
        <v>0</v>
      </c>
      <c r="U42" s="66">
        <v>0</v>
      </c>
      <c r="V42" s="23">
        <f t="shared" si="11"/>
        <v>0</v>
      </c>
      <c r="W42" s="59">
        <v>0</v>
      </c>
      <c r="X42" s="23">
        <f t="shared" si="12"/>
        <v>0</v>
      </c>
      <c r="Y42" s="5"/>
      <c r="Z42" s="5"/>
      <c r="AA42" s="5"/>
    </row>
    <row r="43" spans="1:27" ht="54" customHeight="1">
      <c r="A43" s="72" t="s">
        <v>81</v>
      </c>
      <c r="B43" s="28" t="s">
        <v>82</v>
      </c>
      <c r="C43" s="67" t="s">
        <v>47</v>
      </c>
      <c r="D43" s="67" t="s">
        <v>142</v>
      </c>
      <c r="E43" s="28" t="s">
        <v>84</v>
      </c>
      <c r="F43" s="67" t="s">
        <v>93</v>
      </c>
      <c r="G43" s="67" t="s">
        <v>50</v>
      </c>
      <c r="H43" s="67" t="s">
        <v>123</v>
      </c>
      <c r="I43" s="67" t="s">
        <v>133</v>
      </c>
      <c r="J43" s="75">
        <v>4</v>
      </c>
      <c r="K43" s="61">
        <v>0</v>
      </c>
      <c r="L43" s="59">
        <v>1718367.44</v>
      </c>
      <c r="M43" s="59">
        <v>0</v>
      </c>
      <c r="N43" s="21">
        <f t="shared" si="8"/>
        <v>1718367.44</v>
      </c>
      <c r="O43" s="21"/>
      <c r="P43" s="21"/>
      <c r="Q43" s="21"/>
      <c r="R43" s="21">
        <f t="shared" si="9"/>
        <v>1718367.44</v>
      </c>
      <c r="S43" s="61">
        <v>1718367.44</v>
      </c>
      <c r="T43" s="23">
        <f t="shared" si="10"/>
        <v>1</v>
      </c>
      <c r="U43" s="66">
        <v>0</v>
      </c>
      <c r="V43" s="23">
        <f t="shared" si="11"/>
        <v>0</v>
      </c>
      <c r="W43" s="59">
        <v>0</v>
      </c>
      <c r="X43" s="23">
        <f t="shared" si="12"/>
        <v>0</v>
      </c>
      <c r="Y43" s="5"/>
      <c r="Z43" s="5"/>
      <c r="AA43" s="5"/>
    </row>
    <row r="44" spans="1:27" ht="54" customHeight="1">
      <c r="A44" s="17" t="s">
        <v>81</v>
      </c>
      <c r="B44" s="28" t="s">
        <v>82</v>
      </c>
      <c r="C44" s="28" t="s">
        <v>47</v>
      </c>
      <c r="D44" s="67" t="s">
        <v>124</v>
      </c>
      <c r="E44" s="28" t="s">
        <v>84</v>
      </c>
      <c r="F44" s="67" t="s">
        <v>93</v>
      </c>
      <c r="G44" s="28" t="s">
        <v>50</v>
      </c>
      <c r="H44" s="67" t="s">
        <v>123</v>
      </c>
      <c r="I44" s="67" t="s">
        <v>133</v>
      </c>
      <c r="J44" s="39">
        <v>4</v>
      </c>
      <c r="K44" s="61">
        <v>0</v>
      </c>
      <c r="L44" s="59">
        <v>3915649.55</v>
      </c>
      <c r="M44" s="59">
        <v>0</v>
      </c>
      <c r="N44" s="21">
        <f t="shared" si="8"/>
        <v>3915649.55</v>
      </c>
      <c r="O44" s="21"/>
      <c r="P44" s="21"/>
      <c r="Q44" s="21"/>
      <c r="R44" s="21">
        <f t="shared" si="9"/>
        <v>3915649.55</v>
      </c>
      <c r="S44" s="61">
        <v>3915649.55</v>
      </c>
      <c r="T44" s="23">
        <f t="shared" si="10"/>
        <v>1</v>
      </c>
      <c r="U44" s="66">
        <v>1910669.62</v>
      </c>
      <c r="V44" s="23">
        <f t="shared" si="11"/>
        <v>0.48795725858561584</v>
      </c>
      <c r="W44" s="59">
        <v>1910669.62</v>
      </c>
      <c r="X44" s="23">
        <f t="shared" si="12"/>
        <v>0.48795725858561584</v>
      </c>
      <c r="Y44" s="5"/>
      <c r="Z44" s="5"/>
      <c r="AA44" s="5"/>
    </row>
    <row r="45" spans="1:27" ht="54" customHeight="1">
      <c r="A45" s="72" t="s">
        <v>81</v>
      </c>
      <c r="B45" s="28" t="s">
        <v>82</v>
      </c>
      <c r="C45" s="67" t="s">
        <v>47</v>
      </c>
      <c r="D45" s="67" t="s">
        <v>124</v>
      </c>
      <c r="E45" s="28" t="s">
        <v>84</v>
      </c>
      <c r="F45" s="67" t="s">
        <v>93</v>
      </c>
      <c r="G45" s="67" t="s">
        <v>50</v>
      </c>
      <c r="H45" s="67" t="s">
        <v>135</v>
      </c>
      <c r="I45" s="67" t="s">
        <v>133</v>
      </c>
      <c r="J45" s="75">
        <v>4</v>
      </c>
      <c r="K45" s="61">
        <v>0</v>
      </c>
      <c r="L45" s="59">
        <v>211303.86</v>
      </c>
      <c r="M45" s="59">
        <v>0</v>
      </c>
      <c r="N45" s="21">
        <f t="shared" si="8"/>
        <v>211303.86</v>
      </c>
      <c r="O45" s="21"/>
      <c r="P45" s="21"/>
      <c r="Q45" s="21"/>
      <c r="R45" s="21">
        <f t="shared" si="9"/>
        <v>211303.86</v>
      </c>
      <c r="S45" s="61">
        <v>211303.86</v>
      </c>
      <c r="T45" s="23">
        <f t="shared" si="10"/>
        <v>1</v>
      </c>
      <c r="U45" s="66">
        <v>114309.14</v>
      </c>
      <c r="V45" s="23">
        <f t="shared" si="11"/>
        <v>0.54097042997700096</v>
      </c>
      <c r="W45" s="59">
        <v>114309.14</v>
      </c>
      <c r="X45" s="23">
        <f t="shared" si="12"/>
        <v>0.54097042997700096</v>
      </c>
      <c r="Y45" s="5"/>
      <c r="Z45" s="5"/>
      <c r="AA45" s="5"/>
    </row>
    <row r="46" spans="1:27" ht="54" customHeight="1">
      <c r="A46" s="17" t="s">
        <v>81</v>
      </c>
      <c r="B46" s="28" t="s">
        <v>82</v>
      </c>
      <c r="C46" s="28" t="s">
        <v>47</v>
      </c>
      <c r="D46" s="67" t="s">
        <v>125</v>
      </c>
      <c r="E46" s="28" t="s">
        <v>84</v>
      </c>
      <c r="F46" s="67" t="s">
        <v>93</v>
      </c>
      <c r="G46" s="28" t="s">
        <v>50</v>
      </c>
      <c r="H46" s="67" t="s">
        <v>123</v>
      </c>
      <c r="I46" s="67" t="s">
        <v>133</v>
      </c>
      <c r="J46" s="39">
        <v>4</v>
      </c>
      <c r="K46" s="61">
        <v>0</v>
      </c>
      <c r="L46" s="59">
        <v>6430080.5599999996</v>
      </c>
      <c r="M46" s="59">
        <v>0</v>
      </c>
      <c r="N46" s="21">
        <f t="shared" si="8"/>
        <v>6430080.5599999996</v>
      </c>
      <c r="O46" s="21"/>
      <c r="P46" s="21"/>
      <c r="Q46" s="21"/>
      <c r="R46" s="21">
        <f t="shared" si="9"/>
        <v>6430080.5599999996</v>
      </c>
      <c r="S46" s="61">
        <v>147314.68</v>
      </c>
      <c r="T46" s="23">
        <f t="shared" si="10"/>
        <v>2.2910238623822157E-2</v>
      </c>
      <c r="U46" s="66">
        <v>147314.68</v>
      </c>
      <c r="V46" s="23">
        <f t="shared" si="11"/>
        <v>2.2910238623822157E-2</v>
      </c>
      <c r="W46" s="59">
        <v>147314.68</v>
      </c>
      <c r="X46" s="23">
        <f t="shared" si="12"/>
        <v>2.2910238623822157E-2</v>
      </c>
      <c r="Y46" s="5"/>
      <c r="Z46" s="5"/>
      <c r="AA46" s="5"/>
    </row>
    <row r="47" spans="1:27" ht="54" customHeight="1">
      <c r="A47" s="72" t="s">
        <v>81</v>
      </c>
      <c r="B47" s="28" t="s">
        <v>82</v>
      </c>
      <c r="C47" s="67" t="s">
        <v>47</v>
      </c>
      <c r="D47" s="67" t="s">
        <v>140</v>
      </c>
      <c r="E47" s="28" t="s">
        <v>84</v>
      </c>
      <c r="F47" s="67" t="s">
        <v>93</v>
      </c>
      <c r="G47" s="67" t="s">
        <v>50</v>
      </c>
      <c r="H47" s="67" t="s">
        <v>135</v>
      </c>
      <c r="I47" s="67" t="s">
        <v>133</v>
      </c>
      <c r="J47" s="75">
        <v>4</v>
      </c>
      <c r="K47" s="61">
        <v>0</v>
      </c>
      <c r="L47" s="59">
        <v>7450000</v>
      </c>
      <c r="M47" s="59">
        <v>0</v>
      </c>
      <c r="N47" s="21">
        <f t="shared" si="8"/>
        <v>7450000</v>
      </c>
      <c r="O47" s="21"/>
      <c r="P47" s="21"/>
      <c r="Q47" s="21"/>
      <c r="R47" s="21">
        <f t="shared" si="9"/>
        <v>7450000</v>
      </c>
      <c r="S47" s="61">
        <v>0</v>
      </c>
      <c r="T47" s="23">
        <f t="shared" si="10"/>
        <v>0</v>
      </c>
      <c r="U47" s="66">
        <v>0</v>
      </c>
      <c r="V47" s="23">
        <f t="shared" si="11"/>
        <v>0</v>
      </c>
      <c r="W47" s="59">
        <v>0</v>
      </c>
      <c r="X47" s="23">
        <f t="shared" si="12"/>
        <v>0</v>
      </c>
      <c r="Y47" s="5"/>
      <c r="Z47" s="5"/>
      <c r="AA47" s="5"/>
    </row>
    <row r="48" spans="1:27" ht="54" customHeight="1">
      <c r="A48" s="17" t="s">
        <v>81</v>
      </c>
      <c r="B48" s="28" t="s">
        <v>82</v>
      </c>
      <c r="C48" s="28" t="s">
        <v>47</v>
      </c>
      <c r="D48" s="67" t="s">
        <v>94</v>
      </c>
      <c r="E48" s="28" t="s">
        <v>84</v>
      </c>
      <c r="F48" s="67" t="s">
        <v>95</v>
      </c>
      <c r="G48" s="28" t="s">
        <v>50</v>
      </c>
      <c r="H48" s="67" t="s">
        <v>123</v>
      </c>
      <c r="I48" s="67" t="s">
        <v>133</v>
      </c>
      <c r="J48" s="39">
        <v>4</v>
      </c>
      <c r="K48" s="61">
        <v>100000</v>
      </c>
      <c r="L48" s="59">
        <v>0</v>
      </c>
      <c r="M48" s="59">
        <v>0</v>
      </c>
      <c r="N48" s="21">
        <f t="shared" si="8"/>
        <v>100000</v>
      </c>
      <c r="O48" s="21"/>
      <c r="P48" s="21"/>
      <c r="Q48" s="21"/>
      <c r="R48" s="21">
        <f t="shared" si="9"/>
        <v>100000</v>
      </c>
      <c r="S48" s="61">
        <v>64458</v>
      </c>
      <c r="T48" s="23">
        <f t="shared" si="10"/>
        <v>0.64458000000000004</v>
      </c>
      <c r="U48" s="66">
        <v>0</v>
      </c>
      <c r="V48" s="23">
        <f t="shared" si="11"/>
        <v>0</v>
      </c>
      <c r="W48" s="59">
        <v>0</v>
      </c>
      <c r="X48" s="23">
        <f t="shared" si="12"/>
        <v>0</v>
      </c>
      <c r="Y48" s="5"/>
      <c r="Z48" s="5"/>
      <c r="AA48" s="5"/>
    </row>
    <row r="49" spans="1:27" ht="54" customHeight="1">
      <c r="A49" s="17" t="s">
        <v>81</v>
      </c>
      <c r="B49" s="28" t="s">
        <v>82</v>
      </c>
      <c r="C49" s="28" t="s">
        <v>47</v>
      </c>
      <c r="D49" s="28" t="s">
        <v>48</v>
      </c>
      <c r="E49" s="28" t="s">
        <v>84</v>
      </c>
      <c r="F49" s="28" t="s">
        <v>96</v>
      </c>
      <c r="G49" s="28" t="s">
        <v>50</v>
      </c>
      <c r="H49" s="67" t="s">
        <v>123</v>
      </c>
      <c r="I49" s="67" t="s">
        <v>133</v>
      </c>
      <c r="J49" s="73">
        <v>3</v>
      </c>
      <c r="K49" s="29">
        <f>54800000-K50</f>
        <v>53000000</v>
      </c>
      <c r="L49" s="59">
        <f>15548680.94-L50</f>
        <v>15123680.939999999</v>
      </c>
      <c r="M49" s="59">
        <f>4415233.08-M50</f>
        <v>3865880.92</v>
      </c>
      <c r="N49" s="21">
        <f t="shared" si="8"/>
        <v>64257800.019999996</v>
      </c>
      <c r="O49" s="21"/>
      <c r="P49" s="21"/>
      <c r="Q49" s="21"/>
      <c r="R49" s="21">
        <f t="shared" si="9"/>
        <v>64257800.019999996</v>
      </c>
      <c r="S49" s="29">
        <f>48460041.82-S50</f>
        <v>47056156.049999997</v>
      </c>
      <c r="T49" s="23">
        <f t="shared" si="10"/>
        <v>0.73230263151483477</v>
      </c>
      <c r="U49" s="46">
        <f>30442200.34-U50</f>
        <v>29480511.57</v>
      </c>
      <c r="V49" s="23">
        <f t="shared" si="11"/>
        <v>0.45878495001111619</v>
      </c>
      <c r="W49" s="59">
        <f>30320694.92-W50</f>
        <v>29359006.150000002</v>
      </c>
      <c r="X49" s="23">
        <f t="shared" si="12"/>
        <v>0.4568940446274557</v>
      </c>
      <c r="Y49" s="5"/>
      <c r="Z49" s="5"/>
      <c r="AA49" s="5"/>
    </row>
    <row r="50" spans="1:27" ht="54" customHeight="1">
      <c r="A50" s="17" t="s">
        <v>81</v>
      </c>
      <c r="B50" s="28" t="s">
        <v>82</v>
      </c>
      <c r="C50" s="28" t="s">
        <v>47</v>
      </c>
      <c r="D50" s="28" t="s">
        <v>48</v>
      </c>
      <c r="E50" s="28" t="s">
        <v>84</v>
      </c>
      <c r="F50" s="28" t="s">
        <v>96</v>
      </c>
      <c r="G50" s="28" t="s">
        <v>50</v>
      </c>
      <c r="H50" s="67" t="s">
        <v>123</v>
      </c>
      <c r="I50" s="67" t="s">
        <v>133</v>
      </c>
      <c r="J50" s="39">
        <v>4</v>
      </c>
      <c r="K50" s="61">
        <f>1800000</f>
        <v>1800000</v>
      </c>
      <c r="L50" s="59">
        <f>425000</f>
        <v>425000</v>
      </c>
      <c r="M50" s="59">
        <f>549352.16</f>
        <v>549352.16</v>
      </c>
      <c r="N50" s="21">
        <f t="shared" si="8"/>
        <v>1675647.8399999999</v>
      </c>
      <c r="O50" s="21"/>
      <c r="P50" s="21"/>
      <c r="Q50" s="21"/>
      <c r="R50" s="21">
        <f t="shared" si="9"/>
        <v>1675647.8399999999</v>
      </c>
      <c r="S50" s="59">
        <f>13539+772311.77+599000+19035</f>
        <v>1403885.77</v>
      </c>
      <c r="T50" s="23">
        <f t="shared" si="10"/>
        <v>0.83781671571277183</v>
      </c>
      <c r="U50" s="66">
        <f>13539+349149.77+599000</f>
        <v>961688.77</v>
      </c>
      <c r="V50" s="23">
        <f t="shared" si="11"/>
        <v>0.57392057390770135</v>
      </c>
      <c r="W50" s="59">
        <f>13539+349149.77+599000</f>
        <v>961688.77</v>
      </c>
      <c r="X50" s="23">
        <f t="shared" si="12"/>
        <v>0.57392057390770135</v>
      </c>
      <c r="Y50" s="5"/>
      <c r="Z50" s="5"/>
      <c r="AA50" s="5"/>
    </row>
    <row r="51" spans="1:27" ht="45">
      <c r="A51" s="17" t="s">
        <v>81</v>
      </c>
      <c r="B51" s="28" t="s">
        <v>82</v>
      </c>
      <c r="C51" s="28" t="s">
        <v>47</v>
      </c>
      <c r="D51" s="28" t="s">
        <v>48</v>
      </c>
      <c r="E51" s="28" t="s">
        <v>84</v>
      </c>
      <c r="F51" s="28" t="s">
        <v>96</v>
      </c>
      <c r="G51" s="28" t="s">
        <v>50</v>
      </c>
      <c r="H51" s="67" t="s">
        <v>135</v>
      </c>
      <c r="I51" s="67" t="s">
        <v>133</v>
      </c>
      <c r="J51" s="73">
        <v>3</v>
      </c>
      <c r="K51" s="61">
        <v>0</v>
      </c>
      <c r="L51" s="62">
        <f>18546209.86-L52</f>
        <v>17664368.859999999</v>
      </c>
      <c r="M51" s="62">
        <v>387000</v>
      </c>
      <c r="N51" s="31">
        <f t="shared" si="8"/>
        <v>17277368.859999999</v>
      </c>
      <c r="O51" s="31"/>
      <c r="P51" s="31"/>
      <c r="Q51" s="31"/>
      <c r="R51" s="31">
        <f t="shared" si="9"/>
        <v>17277368.859999999</v>
      </c>
      <c r="S51" s="62">
        <f>14302234.57-S52</f>
        <v>13452279.609999999</v>
      </c>
      <c r="T51" s="33">
        <f t="shared" si="10"/>
        <v>0.77860695798098511</v>
      </c>
      <c r="U51" s="64">
        <f>6298228.69-U52</f>
        <v>5665101.6900000004</v>
      </c>
      <c r="V51" s="33">
        <f t="shared" si="11"/>
        <v>0.32789145939435599</v>
      </c>
      <c r="W51" s="62">
        <f>6186760.69-W52</f>
        <v>5553633.6900000004</v>
      </c>
      <c r="X51" s="33">
        <f t="shared" si="12"/>
        <v>0.32143978258504347</v>
      </c>
      <c r="Y51" s="5"/>
      <c r="Z51" s="5"/>
      <c r="AA51" s="5"/>
    </row>
    <row r="52" spans="1:27" ht="54" customHeight="1">
      <c r="A52" s="17" t="s">
        <v>81</v>
      </c>
      <c r="B52" s="28" t="s">
        <v>82</v>
      </c>
      <c r="C52" s="28" t="s">
        <v>47</v>
      </c>
      <c r="D52" s="28" t="s">
        <v>48</v>
      </c>
      <c r="E52" s="28" t="s">
        <v>84</v>
      </c>
      <c r="F52" s="28" t="s">
        <v>96</v>
      </c>
      <c r="G52" s="28" t="s">
        <v>50</v>
      </c>
      <c r="H52" s="67" t="s">
        <v>135</v>
      </c>
      <c r="I52" s="67" t="s">
        <v>133</v>
      </c>
      <c r="J52" s="39">
        <v>4</v>
      </c>
      <c r="K52" s="61">
        <v>0</v>
      </c>
      <c r="L52" s="62">
        <f>881841</f>
        <v>881841</v>
      </c>
      <c r="M52" s="62">
        <v>0</v>
      </c>
      <c r="N52" s="31">
        <f t="shared" si="8"/>
        <v>881841</v>
      </c>
      <c r="O52" s="31"/>
      <c r="P52" s="31"/>
      <c r="Q52" s="31"/>
      <c r="R52" s="31">
        <f t="shared" si="9"/>
        <v>881841</v>
      </c>
      <c r="S52" s="62">
        <f>295037+204700+32550+317667.96</f>
        <v>849954.96</v>
      </c>
      <c r="T52" s="33">
        <f t="shared" si="10"/>
        <v>0.96384150884343089</v>
      </c>
      <c r="U52" s="66">
        <f>295037+204700+32550+100840</f>
        <v>633127</v>
      </c>
      <c r="V52" s="33">
        <f t="shared" si="11"/>
        <v>0.71796049401195905</v>
      </c>
      <c r="W52" s="62">
        <f>295037+204700+32550+100840</f>
        <v>633127</v>
      </c>
      <c r="X52" s="33">
        <f t="shared" si="12"/>
        <v>0.71796049401195905</v>
      </c>
      <c r="Y52" s="5"/>
      <c r="Z52" s="5"/>
      <c r="AA52" s="5"/>
    </row>
    <row r="53" spans="1:27" ht="54" customHeight="1">
      <c r="A53" s="17" t="s">
        <v>81</v>
      </c>
      <c r="B53" s="28" t="s">
        <v>82</v>
      </c>
      <c r="C53" s="28" t="s">
        <v>47</v>
      </c>
      <c r="D53" s="28" t="s">
        <v>52</v>
      </c>
      <c r="E53" s="28" t="s">
        <v>84</v>
      </c>
      <c r="F53" s="28" t="s">
        <v>97</v>
      </c>
      <c r="G53" s="28" t="s">
        <v>50</v>
      </c>
      <c r="H53" s="67" t="s">
        <v>123</v>
      </c>
      <c r="I53" s="67" t="s">
        <v>133</v>
      </c>
      <c r="J53" s="73">
        <v>3</v>
      </c>
      <c r="K53" s="61">
        <v>65000</v>
      </c>
      <c r="L53" s="62">
        <v>0</v>
      </c>
      <c r="M53" s="62">
        <v>52874.8</v>
      </c>
      <c r="N53" s="31">
        <f t="shared" si="8"/>
        <v>12125.199999999997</v>
      </c>
      <c r="O53" s="31"/>
      <c r="P53" s="31"/>
      <c r="Q53" s="31"/>
      <c r="R53" s="31">
        <f t="shared" si="9"/>
        <v>12125.199999999997</v>
      </c>
      <c r="S53" s="62">
        <v>0</v>
      </c>
      <c r="T53" s="33">
        <f t="shared" si="10"/>
        <v>0</v>
      </c>
      <c r="U53" s="64">
        <v>0</v>
      </c>
      <c r="V53" s="33">
        <f t="shared" si="11"/>
        <v>0</v>
      </c>
      <c r="W53" s="62">
        <v>0</v>
      </c>
      <c r="X53" s="33">
        <f t="shared" si="12"/>
        <v>0</v>
      </c>
      <c r="Y53" s="5"/>
      <c r="Z53" s="5"/>
      <c r="AA53" s="5"/>
    </row>
    <row r="54" spans="1:27" ht="45">
      <c r="A54" s="17" t="s">
        <v>81</v>
      </c>
      <c r="B54" s="28" t="s">
        <v>82</v>
      </c>
      <c r="C54" s="28" t="s">
        <v>47</v>
      </c>
      <c r="D54" s="28" t="s">
        <v>52</v>
      </c>
      <c r="E54" s="28" t="s">
        <v>84</v>
      </c>
      <c r="F54" s="28" t="s">
        <v>97</v>
      </c>
      <c r="G54" s="28" t="s">
        <v>50</v>
      </c>
      <c r="H54" s="67" t="s">
        <v>135</v>
      </c>
      <c r="I54" s="67" t="s">
        <v>133</v>
      </c>
      <c r="J54" s="73">
        <v>3</v>
      </c>
      <c r="K54" s="61">
        <v>0</v>
      </c>
      <c r="L54" s="62">
        <v>10800000</v>
      </c>
      <c r="M54" s="62">
        <v>0</v>
      </c>
      <c r="N54" s="31">
        <f t="shared" si="8"/>
        <v>10800000</v>
      </c>
      <c r="O54" s="31"/>
      <c r="P54" s="31"/>
      <c r="Q54" s="31"/>
      <c r="R54" s="31">
        <f t="shared" si="9"/>
        <v>10800000</v>
      </c>
      <c r="S54" s="63">
        <v>7515696.2999999998</v>
      </c>
      <c r="T54" s="33">
        <f t="shared" si="10"/>
        <v>0.69589780555555558</v>
      </c>
      <c r="U54" s="64">
        <v>6424246.9500000002</v>
      </c>
      <c r="V54" s="33">
        <f t="shared" si="11"/>
        <v>0.59483768055555553</v>
      </c>
      <c r="W54" s="62">
        <v>6424246.9500000002</v>
      </c>
      <c r="X54" s="33">
        <f t="shared" si="12"/>
        <v>0.59483768055555553</v>
      </c>
      <c r="Y54" s="5"/>
      <c r="Z54" s="5"/>
      <c r="AA54" s="5"/>
    </row>
    <row r="55" spans="1:27" ht="63">
      <c r="A55" s="17" t="s">
        <v>81</v>
      </c>
      <c r="B55" s="28" t="s">
        <v>82</v>
      </c>
      <c r="C55" s="28" t="s">
        <v>47</v>
      </c>
      <c r="D55" s="28" t="s">
        <v>98</v>
      </c>
      <c r="E55" s="28" t="s">
        <v>60</v>
      </c>
      <c r="F55" s="28" t="s">
        <v>99</v>
      </c>
      <c r="G55" s="28" t="s">
        <v>50</v>
      </c>
      <c r="H55" s="67" t="s">
        <v>123</v>
      </c>
      <c r="I55" s="67" t="s">
        <v>133</v>
      </c>
      <c r="J55" s="39">
        <v>4</v>
      </c>
      <c r="K55" s="61">
        <v>5000000</v>
      </c>
      <c r="L55" s="62">
        <v>0</v>
      </c>
      <c r="M55" s="62">
        <v>5000000</v>
      </c>
      <c r="N55" s="31">
        <f t="shared" si="8"/>
        <v>0</v>
      </c>
      <c r="O55" s="31"/>
      <c r="P55" s="31"/>
      <c r="Q55" s="31"/>
      <c r="R55" s="31">
        <f t="shared" si="9"/>
        <v>0</v>
      </c>
      <c r="S55" s="63">
        <v>0</v>
      </c>
      <c r="T55" s="33">
        <f t="shared" si="10"/>
        <v>0</v>
      </c>
      <c r="U55" s="66">
        <v>0</v>
      </c>
      <c r="V55" s="33">
        <f t="shared" si="11"/>
        <v>0</v>
      </c>
      <c r="W55" s="62">
        <v>0</v>
      </c>
      <c r="X55" s="33">
        <f t="shared" si="12"/>
        <v>0</v>
      </c>
      <c r="Y55" s="5"/>
      <c r="Z55" s="5"/>
      <c r="AA55" s="5"/>
    </row>
    <row r="56" spans="1:27" ht="63">
      <c r="A56" s="72" t="s">
        <v>81</v>
      </c>
      <c r="B56" s="28" t="s">
        <v>82</v>
      </c>
      <c r="C56" s="67" t="s">
        <v>47</v>
      </c>
      <c r="D56" s="67" t="s">
        <v>127</v>
      </c>
      <c r="E56" s="28" t="s">
        <v>60</v>
      </c>
      <c r="F56" s="67" t="s">
        <v>99</v>
      </c>
      <c r="G56" s="67" t="s">
        <v>50</v>
      </c>
      <c r="H56" s="67" t="s">
        <v>135</v>
      </c>
      <c r="I56" s="67" t="s">
        <v>133</v>
      </c>
      <c r="J56" s="75">
        <v>4</v>
      </c>
      <c r="K56" s="61">
        <v>0</v>
      </c>
      <c r="L56" s="62">
        <v>6700000</v>
      </c>
      <c r="M56" s="62">
        <v>0</v>
      </c>
      <c r="N56" s="31">
        <f t="shared" si="8"/>
        <v>6700000</v>
      </c>
      <c r="O56" s="31"/>
      <c r="P56" s="31"/>
      <c r="Q56" s="31"/>
      <c r="R56" s="31">
        <f t="shared" si="9"/>
        <v>6700000</v>
      </c>
      <c r="S56" s="63">
        <v>6682415.0300000003</v>
      </c>
      <c r="T56" s="33">
        <f t="shared" si="10"/>
        <v>0.99737537761194028</v>
      </c>
      <c r="U56" s="66">
        <v>0</v>
      </c>
      <c r="V56" s="33">
        <f t="shared" si="11"/>
        <v>0</v>
      </c>
      <c r="W56" s="62">
        <v>0</v>
      </c>
      <c r="X56" s="33">
        <f t="shared" si="12"/>
        <v>0</v>
      </c>
      <c r="Y56" s="5"/>
      <c r="Z56" s="5"/>
      <c r="AA56" s="5"/>
    </row>
    <row r="57" spans="1:27" ht="63">
      <c r="A57" s="17" t="s">
        <v>81</v>
      </c>
      <c r="B57" s="28" t="s">
        <v>82</v>
      </c>
      <c r="C57" s="28" t="s">
        <v>47</v>
      </c>
      <c r="D57" s="28" t="s">
        <v>100</v>
      </c>
      <c r="E57" s="28" t="s">
        <v>60</v>
      </c>
      <c r="F57" s="28" t="s">
        <v>101</v>
      </c>
      <c r="G57" s="28" t="s">
        <v>50</v>
      </c>
      <c r="H57" s="67" t="s">
        <v>123</v>
      </c>
      <c r="I57" s="67" t="s">
        <v>133</v>
      </c>
      <c r="J57" s="39">
        <v>4</v>
      </c>
      <c r="K57" s="61">
        <v>100000</v>
      </c>
      <c r="L57" s="62">
        <v>0</v>
      </c>
      <c r="M57" s="62">
        <v>0</v>
      </c>
      <c r="N57" s="31">
        <f t="shared" si="8"/>
        <v>100000</v>
      </c>
      <c r="O57" s="31"/>
      <c r="P57" s="31"/>
      <c r="Q57" s="31"/>
      <c r="R57" s="31">
        <f t="shared" si="9"/>
        <v>100000</v>
      </c>
      <c r="S57" s="63">
        <v>0</v>
      </c>
      <c r="T57" s="33">
        <f t="shared" si="10"/>
        <v>0</v>
      </c>
      <c r="U57" s="66">
        <v>0</v>
      </c>
      <c r="V57" s="33">
        <f t="shared" si="11"/>
        <v>0</v>
      </c>
      <c r="W57" s="62">
        <v>0</v>
      </c>
      <c r="X57" s="33">
        <f t="shared" si="12"/>
        <v>0</v>
      </c>
      <c r="Y57" s="5"/>
      <c r="Z57" s="5"/>
      <c r="AA57" s="5"/>
    </row>
    <row r="58" spans="1:27" ht="54" hidden="1" customHeight="1">
      <c r="A58" s="17" t="s">
        <v>81</v>
      </c>
      <c r="B58" s="28" t="s">
        <v>82</v>
      </c>
      <c r="C58" s="28" t="s">
        <v>47</v>
      </c>
      <c r="D58" s="28" t="s">
        <v>102</v>
      </c>
      <c r="E58" s="28" t="s">
        <v>60</v>
      </c>
      <c r="F58" s="28" t="s">
        <v>103</v>
      </c>
      <c r="G58" s="28" t="s">
        <v>50</v>
      </c>
      <c r="H58" s="28" t="s">
        <v>88</v>
      </c>
      <c r="I58" s="67" t="s">
        <v>133</v>
      </c>
      <c r="J58" s="19">
        <v>3</v>
      </c>
      <c r="K58" s="29"/>
      <c r="L58" s="30"/>
      <c r="M58" s="30"/>
      <c r="N58" s="31">
        <f t="shared" si="8"/>
        <v>0</v>
      </c>
      <c r="O58" s="31"/>
      <c r="P58" s="31"/>
      <c r="Q58" s="31"/>
      <c r="R58" s="31">
        <f t="shared" si="9"/>
        <v>0</v>
      </c>
      <c r="S58" s="32"/>
      <c r="T58" s="33">
        <f t="shared" si="10"/>
        <v>0</v>
      </c>
      <c r="U58" s="24"/>
      <c r="V58" s="33">
        <f t="shared" si="11"/>
        <v>0</v>
      </c>
      <c r="W58" s="30"/>
      <c r="X58" s="33">
        <f t="shared" si="12"/>
        <v>0</v>
      </c>
      <c r="Y58" s="5"/>
      <c r="Z58" s="5"/>
      <c r="AA58" s="5"/>
    </row>
    <row r="59" spans="1:27" ht="63">
      <c r="A59" s="17" t="s">
        <v>81</v>
      </c>
      <c r="B59" s="28" t="s">
        <v>82</v>
      </c>
      <c r="C59" s="28" t="s">
        <v>47</v>
      </c>
      <c r="D59" s="28" t="s">
        <v>104</v>
      </c>
      <c r="E59" s="28" t="s">
        <v>60</v>
      </c>
      <c r="F59" s="28" t="s">
        <v>103</v>
      </c>
      <c r="G59" s="28" t="s">
        <v>50</v>
      </c>
      <c r="H59" s="67" t="s">
        <v>123</v>
      </c>
      <c r="I59" s="67" t="s">
        <v>133</v>
      </c>
      <c r="J59" s="39">
        <v>4</v>
      </c>
      <c r="K59" s="61">
        <v>280000</v>
      </c>
      <c r="L59" s="62">
        <v>0</v>
      </c>
      <c r="M59" s="62">
        <v>91950</v>
      </c>
      <c r="N59" s="31">
        <f t="shared" si="8"/>
        <v>188050</v>
      </c>
      <c r="O59" s="31"/>
      <c r="P59" s="31"/>
      <c r="Q59" s="31"/>
      <c r="R59" s="31">
        <f t="shared" si="9"/>
        <v>188050</v>
      </c>
      <c r="S59" s="63">
        <v>0</v>
      </c>
      <c r="T59" s="33">
        <f t="shared" si="10"/>
        <v>0</v>
      </c>
      <c r="U59" s="66">
        <v>0</v>
      </c>
      <c r="V59" s="33">
        <f t="shared" si="11"/>
        <v>0</v>
      </c>
      <c r="W59" s="62">
        <v>0</v>
      </c>
      <c r="X59" s="33">
        <f t="shared" si="12"/>
        <v>0</v>
      </c>
      <c r="Y59" s="5"/>
      <c r="Z59" s="5"/>
      <c r="AA59" s="5"/>
    </row>
    <row r="60" spans="1:27" ht="63">
      <c r="A60" s="72" t="s">
        <v>81</v>
      </c>
      <c r="B60" s="28" t="s">
        <v>82</v>
      </c>
      <c r="C60" s="67" t="s">
        <v>47</v>
      </c>
      <c r="D60" s="67" t="s">
        <v>102</v>
      </c>
      <c r="E60" s="28" t="s">
        <v>60</v>
      </c>
      <c r="F60" s="28" t="s">
        <v>103</v>
      </c>
      <c r="G60" s="67" t="s">
        <v>50</v>
      </c>
      <c r="H60" s="67" t="s">
        <v>123</v>
      </c>
      <c r="I60" s="67" t="s">
        <v>133</v>
      </c>
      <c r="J60" s="80">
        <v>3</v>
      </c>
      <c r="K60" s="61">
        <v>0</v>
      </c>
      <c r="L60" s="62">
        <v>42000</v>
      </c>
      <c r="M60" s="62">
        <v>0</v>
      </c>
      <c r="N60" s="31">
        <f t="shared" si="8"/>
        <v>42000</v>
      </c>
      <c r="O60" s="31"/>
      <c r="P60" s="31"/>
      <c r="Q60" s="31"/>
      <c r="R60" s="31">
        <f t="shared" si="9"/>
        <v>42000</v>
      </c>
      <c r="S60" s="63">
        <v>0</v>
      </c>
      <c r="T60" s="33">
        <f t="shared" si="10"/>
        <v>0</v>
      </c>
      <c r="U60" s="81">
        <v>0</v>
      </c>
      <c r="V60" s="33">
        <f t="shared" si="11"/>
        <v>0</v>
      </c>
      <c r="W60" s="62">
        <v>0</v>
      </c>
      <c r="X60" s="33"/>
      <c r="Y60" s="5"/>
      <c r="Z60" s="5"/>
      <c r="AA60" s="5"/>
    </row>
    <row r="61" spans="1:27" ht="63">
      <c r="A61" s="17" t="s">
        <v>81</v>
      </c>
      <c r="B61" s="28" t="s">
        <v>82</v>
      </c>
      <c r="C61" s="28" t="s">
        <v>47</v>
      </c>
      <c r="D61" s="67" t="s">
        <v>102</v>
      </c>
      <c r="E61" s="28" t="s">
        <v>60</v>
      </c>
      <c r="F61" s="28" t="s">
        <v>103</v>
      </c>
      <c r="G61" s="28" t="s">
        <v>50</v>
      </c>
      <c r="H61" s="67" t="s">
        <v>123</v>
      </c>
      <c r="I61" s="67" t="s">
        <v>133</v>
      </c>
      <c r="J61" s="39">
        <v>4</v>
      </c>
      <c r="K61" s="61">
        <v>0</v>
      </c>
      <c r="L61" s="62">
        <v>49950</v>
      </c>
      <c r="M61" s="62">
        <v>0</v>
      </c>
      <c r="N61" s="31">
        <f t="shared" si="8"/>
        <v>49950</v>
      </c>
      <c r="O61" s="31"/>
      <c r="P61" s="31"/>
      <c r="Q61" s="31"/>
      <c r="R61" s="31">
        <f t="shared" si="9"/>
        <v>49950</v>
      </c>
      <c r="S61" s="63">
        <v>49950</v>
      </c>
      <c r="T61" s="33">
        <f t="shared" si="10"/>
        <v>1</v>
      </c>
      <c r="U61" s="66">
        <v>49950</v>
      </c>
      <c r="V61" s="33">
        <f t="shared" si="11"/>
        <v>1</v>
      </c>
      <c r="W61" s="62">
        <v>49950</v>
      </c>
      <c r="X61" s="33">
        <f t="shared" ref="X61:X85" si="13">IF(R61&gt;0,W61/R61,0)</f>
        <v>1</v>
      </c>
      <c r="Y61" s="5"/>
      <c r="Z61" s="5"/>
      <c r="AA61" s="5"/>
    </row>
    <row r="62" spans="1:27" ht="63">
      <c r="A62" s="17" t="s">
        <v>81</v>
      </c>
      <c r="B62" s="28" t="s">
        <v>82</v>
      </c>
      <c r="C62" s="28" t="s">
        <v>47</v>
      </c>
      <c r="D62" s="28" t="s">
        <v>56</v>
      </c>
      <c r="E62" s="28" t="s">
        <v>60</v>
      </c>
      <c r="F62" s="28" t="s">
        <v>57</v>
      </c>
      <c r="G62" s="28" t="s">
        <v>50</v>
      </c>
      <c r="H62" s="67" t="s">
        <v>126</v>
      </c>
      <c r="I62" s="67" t="s">
        <v>136</v>
      </c>
      <c r="J62" s="73">
        <v>3</v>
      </c>
      <c r="K62" s="61">
        <v>400000</v>
      </c>
      <c r="L62" s="62">
        <v>65776</v>
      </c>
      <c r="M62" s="62">
        <v>65776</v>
      </c>
      <c r="N62" s="31">
        <f t="shared" si="8"/>
        <v>400000</v>
      </c>
      <c r="O62" s="31"/>
      <c r="P62" s="31"/>
      <c r="Q62" s="31"/>
      <c r="R62" s="31">
        <f t="shared" si="9"/>
        <v>400000</v>
      </c>
      <c r="S62" s="63">
        <v>322265.18</v>
      </c>
      <c r="T62" s="33">
        <f t="shared" si="10"/>
        <v>0.80566294999999999</v>
      </c>
      <c r="U62" s="64">
        <v>282423.38</v>
      </c>
      <c r="V62" s="33">
        <f t="shared" si="11"/>
        <v>0.70605845</v>
      </c>
      <c r="W62" s="62">
        <f>282286.43</f>
        <v>282286.43</v>
      </c>
      <c r="X62" s="33">
        <f t="shared" si="13"/>
        <v>0.705716075</v>
      </c>
      <c r="Y62" s="5"/>
      <c r="Z62" s="5"/>
      <c r="AA62" s="5"/>
    </row>
    <row r="63" spans="1:27" ht="63">
      <c r="A63" s="17" t="s">
        <v>81</v>
      </c>
      <c r="B63" s="28" t="s">
        <v>82</v>
      </c>
      <c r="C63" s="28" t="s">
        <v>47</v>
      </c>
      <c r="D63" s="28" t="s">
        <v>56</v>
      </c>
      <c r="E63" s="28" t="s">
        <v>60</v>
      </c>
      <c r="F63" s="28" t="s">
        <v>57</v>
      </c>
      <c r="G63" s="28" t="s">
        <v>50</v>
      </c>
      <c r="H63" s="67" t="s">
        <v>137</v>
      </c>
      <c r="I63" s="67" t="s">
        <v>136</v>
      </c>
      <c r="J63" s="73">
        <v>3</v>
      </c>
      <c r="K63" s="61">
        <v>0</v>
      </c>
      <c r="L63" s="62">
        <v>2306293.66</v>
      </c>
      <c r="M63" s="62">
        <v>23538.95</v>
      </c>
      <c r="N63" s="31">
        <f t="shared" si="8"/>
        <v>2282754.71</v>
      </c>
      <c r="O63" s="31"/>
      <c r="P63" s="31"/>
      <c r="Q63" s="31"/>
      <c r="R63" s="31">
        <f t="shared" si="9"/>
        <v>2282754.71</v>
      </c>
      <c r="S63" s="63">
        <v>171009.4</v>
      </c>
      <c r="T63" s="33">
        <f t="shared" si="10"/>
        <v>7.4913611721339965E-2</v>
      </c>
      <c r="U63" s="64">
        <v>99855.4</v>
      </c>
      <c r="V63" s="33">
        <f t="shared" si="11"/>
        <v>4.374337705341981E-2</v>
      </c>
      <c r="W63" s="62">
        <v>99266.9</v>
      </c>
      <c r="X63" s="33">
        <f t="shared" si="13"/>
        <v>4.3485574496963803E-2</v>
      </c>
      <c r="Y63" s="5"/>
      <c r="Z63" s="5"/>
      <c r="AA63" s="5"/>
    </row>
    <row r="64" spans="1:27" ht="63">
      <c r="A64" s="17" t="s">
        <v>81</v>
      </c>
      <c r="B64" s="28" t="s">
        <v>82</v>
      </c>
      <c r="C64" s="28" t="s">
        <v>47</v>
      </c>
      <c r="D64" s="28" t="s">
        <v>59</v>
      </c>
      <c r="E64" s="28" t="s">
        <v>60</v>
      </c>
      <c r="F64" s="28" t="s">
        <v>61</v>
      </c>
      <c r="G64" s="28" t="s">
        <v>50</v>
      </c>
      <c r="H64" s="67" t="s">
        <v>123</v>
      </c>
      <c r="I64" s="67" t="s">
        <v>133</v>
      </c>
      <c r="J64" s="73">
        <v>3</v>
      </c>
      <c r="K64" s="61">
        <v>20000</v>
      </c>
      <c r="L64" s="59">
        <v>0</v>
      </c>
      <c r="M64" s="59">
        <v>0</v>
      </c>
      <c r="N64" s="21">
        <f t="shared" si="8"/>
        <v>20000</v>
      </c>
      <c r="O64" s="21"/>
      <c r="P64" s="21"/>
      <c r="Q64" s="21"/>
      <c r="R64" s="21">
        <f t="shared" si="9"/>
        <v>20000</v>
      </c>
      <c r="S64" s="63">
        <v>9864.94</v>
      </c>
      <c r="T64" s="23">
        <f t="shared" si="10"/>
        <v>0.49324700000000005</v>
      </c>
      <c r="U64" s="64">
        <v>9864.94</v>
      </c>
      <c r="V64" s="23">
        <f t="shared" si="11"/>
        <v>0.49324700000000005</v>
      </c>
      <c r="W64" s="59">
        <v>9864.94</v>
      </c>
      <c r="X64" s="23">
        <f t="shared" si="13"/>
        <v>0.49324700000000005</v>
      </c>
      <c r="Y64" s="5"/>
      <c r="Z64" s="5"/>
      <c r="AA64" s="5"/>
    </row>
    <row r="65" spans="1:27" ht="63">
      <c r="A65" s="72" t="s">
        <v>81</v>
      </c>
      <c r="B65" s="28" t="s">
        <v>82</v>
      </c>
      <c r="C65" s="28" t="s">
        <v>47</v>
      </c>
      <c r="D65" s="28" t="s">
        <v>59</v>
      </c>
      <c r="E65" s="28" t="s">
        <v>60</v>
      </c>
      <c r="F65" s="28" t="s">
        <v>61</v>
      </c>
      <c r="G65" s="28" t="s">
        <v>50</v>
      </c>
      <c r="H65" s="67" t="s">
        <v>135</v>
      </c>
      <c r="I65" s="67" t="s">
        <v>133</v>
      </c>
      <c r="J65" s="73">
        <v>3</v>
      </c>
      <c r="K65" s="61">
        <v>0</v>
      </c>
      <c r="L65" s="62">
        <v>625000</v>
      </c>
      <c r="M65" s="62">
        <v>0</v>
      </c>
      <c r="N65" s="31">
        <f t="shared" si="8"/>
        <v>625000</v>
      </c>
      <c r="O65" s="31"/>
      <c r="P65" s="31"/>
      <c r="Q65" s="31"/>
      <c r="R65" s="31">
        <f t="shared" si="9"/>
        <v>625000</v>
      </c>
      <c r="S65" s="63">
        <v>458572.63</v>
      </c>
      <c r="T65" s="33">
        <f t="shared" si="10"/>
        <v>0.73371620800000004</v>
      </c>
      <c r="U65" s="64">
        <v>404720.61</v>
      </c>
      <c r="V65" s="33">
        <f t="shared" si="11"/>
        <v>0.64755297599999995</v>
      </c>
      <c r="W65" s="62">
        <v>404720.61</v>
      </c>
      <c r="X65" s="33">
        <f t="shared" si="13"/>
        <v>0.64755297599999995</v>
      </c>
      <c r="Y65" s="5"/>
      <c r="Z65" s="5"/>
      <c r="AA65" s="5"/>
    </row>
    <row r="66" spans="1:27" ht="63">
      <c r="A66" s="17" t="s">
        <v>81</v>
      </c>
      <c r="B66" s="28" t="s">
        <v>82</v>
      </c>
      <c r="C66" s="28" t="s">
        <v>47</v>
      </c>
      <c r="D66" s="28" t="s">
        <v>105</v>
      </c>
      <c r="E66" s="28" t="s">
        <v>60</v>
      </c>
      <c r="F66" s="28" t="s">
        <v>106</v>
      </c>
      <c r="G66" s="28" t="s">
        <v>50</v>
      </c>
      <c r="H66" s="67" t="s">
        <v>123</v>
      </c>
      <c r="I66" s="67" t="s">
        <v>133</v>
      </c>
      <c r="J66" s="73">
        <v>3</v>
      </c>
      <c r="K66" s="61">
        <f>38480000-K67</f>
        <v>37980000</v>
      </c>
      <c r="L66" s="59">
        <v>5692713.9800000004</v>
      </c>
      <c r="M66" s="59">
        <v>6284516.29</v>
      </c>
      <c r="N66" s="21">
        <f t="shared" si="8"/>
        <v>37388197.690000005</v>
      </c>
      <c r="O66" s="21"/>
      <c r="P66" s="21"/>
      <c r="Q66" s="21"/>
      <c r="R66" s="21">
        <f t="shared" si="9"/>
        <v>37388197.690000005</v>
      </c>
      <c r="S66" s="20">
        <f>35558919.95-S67</f>
        <v>35128144.760000005</v>
      </c>
      <c r="T66" s="23">
        <f t="shared" si="10"/>
        <v>0.93955170161613644</v>
      </c>
      <c r="U66" s="64">
        <f>26679843.46-U67</f>
        <v>26257918.27</v>
      </c>
      <c r="V66" s="23">
        <f t="shared" si="11"/>
        <v>0.70230500244260363</v>
      </c>
      <c r="W66" s="59">
        <f>26467749.38-W67</f>
        <v>26045824.189999998</v>
      </c>
      <c r="X66" s="23">
        <f t="shared" si="13"/>
        <v>0.69663224758668474</v>
      </c>
      <c r="Y66" s="5"/>
      <c r="Z66" s="5"/>
      <c r="AA66" s="5"/>
    </row>
    <row r="67" spans="1:27" ht="63">
      <c r="A67" s="17" t="s">
        <v>81</v>
      </c>
      <c r="B67" s="28" t="s">
        <v>82</v>
      </c>
      <c r="C67" s="28" t="s">
        <v>47</v>
      </c>
      <c r="D67" s="28" t="s">
        <v>105</v>
      </c>
      <c r="E67" s="28" t="s">
        <v>60</v>
      </c>
      <c r="F67" s="28" t="s">
        <v>106</v>
      </c>
      <c r="G67" s="28" t="s">
        <v>50</v>
      </c>
      <c r="H67" s="67" t="s">
        <v>123</v>
      </c>
      <c r="I67" s="67" t="s">
        <v>133</v>
      </c>
      <c r="J67" s="39">
        <v>4</v>
      </c>
      <c r="K67" s="61">
        <f>500000</f>
        <v>500000</v>
      </c>
      <c r="L67" s="59">
        <v>0</v>
      </c>
      <c r="M67" s="59">
        <v>0</v>
      </c>
      <c r="N67" s="21">
        <f t="shared" si="8"/>
        <v>500000</v>
      </c>
      <c r="O67" s="21"/>
      <c r="P67" s="21"/>
      <c r="Q67" s="21"/>
      <c r="R67" s="21">
        <f t="shared" si="9"/>
        <v>500000</v>
      </c>
      <c r="S67" s="20">
        <f>10872+8850+86670.4+4280+14830+18597+37200+13216+100037.9+127121.89+9100</f>
        <v>430775.19</v>
      </c>
      <c r="T67" s="23">
        <f t="shared" si="10"/>
        <v>0.86155038000000006</v>
      </c>
      <c r="U67" s="66">
        <f>10872+86670.4+4280+14830+18597+37200+13216+100037.9+127121.89+9100</f>
        <v>421925.19</v>
      </c>
      <c r="V67" s="23">
        <f t="shared" si="11"/>
        <v>0.84385038000000001</v>
      </c>
      <c r="W67" s="59">
        <f>10872+86670.4+4280+14830+18597+37200+13216+100037.9+127121.89+9100</f>
        <v>421925.19</v>
      </c>
      <c r="X67" s="23">
        <f t="shared" si="13"/>
        <v>0.84385038000000001</v>
      </c>
      <c r="Y67" s="5"/>
      <c r="Z67" s="5"/>
      <c r="AA67" s="5"/>
    </row>
    <row r="68" spans="1:27" ht="63">
      <c r="A68" s="17" t="s">
        <v>81</v>
      </c>
      <c r="B68" s="28" t="s">
        <v>82</v>
      </c>
      <c r="C68" s="28" t="s">
        <v>47</v>
      </c>
      <c r="D68" s="28" t="s">
        <v>105</v>
      </c>
      <c r="E68" s="28" t="s">
        <v>60</v>
      </c>
      <c r="F68" s="28" t="s">
        <v>106</v>
      </c>
      <c r="G68" s="28" t="s">
        <v>50</v>
      </c>
      <c r="H68" s="67" t="s">
        <v>135</v>
      </c>
      <c r="I68" s="67" t="s">
        <v>133</v>
      </c>
      <c r="J68" s="73">
        <v>3</v>
      </c>
      <c r="K68" s="61">
        <v>0</v>
      </c>
      <c r="L68" s="59">
        <f>10433475.27-L69</f>
        <v>10135808.27</v>
      </c>
      <c r="M68" s="59">
        <v>168733.31</v>
      </c>
      <c r="N68" s="21">
        <f t="shared" si="8"/>
        <v>9967074.959999999</v>
      </c>
      <c r="O68" s="21"/>
      <c r="P68" s="21"/>
      <c r="Q68" s="21"/>
      <c r="R68" s="21">
        <f t="shared" si="9"/>
        <v>9967074.959999999</v>
      </c>
      <c r="S68" s="62">
        <f>3437626.85-S69</f>
        <v>3230259.85</v>
      </c>
      <c r="T68" s="23">
        <f t="shared" si="10"/>
        <v>0.32409306270532962</v>
      </c>
      <c r="U68" s="64">
        <f>1665959.14-U69</f>
        <v>1458592.14</v>
      </c>
      <c r="V68" s="23">
        <f t="shared" si="11"/>
        <v>0.14634104246768903</v>
      </c>
      <c r="W68" s="59">
        <f>1649689.61-W69</f>
        <v>1442322.61</v>
      </c>
      <c r="X68" s="23">
        <f t="shared" si="13"/>
        <v>0.14470871502304827</v>
      </c>
      <c r="Y68" s="5"/>
      <c r="Z68" s="5"/>
      <c r="AA68" s="5"/>
    </row>
    <row r="69" spans="1:27" ht="63">
      <c r="A69" s="17" t="s">
        <v>81</v>
      </c>
      <c r="B69" s="18" t="s">
        <v>82</v>
      </c>
      <c r="C69" s="18" t="s">
        <v>47</v>
      </c>
      <c r="D69" s="28" t="s">
        <v>105</v>
      </c>
      <c r="E69" s="28" t="s">
        <v>60</v>
      </c>
      <c r="F69" s="28" t="s">
        <v>106</v>
      </c>
      <c r="G69" s="18" t="s">
        <v>50</v>
      </c>
      <c r="H69" s="67" t="s">
        <v>135</v>
      </c>
      <c r="I69" s="67" t="s">
        <v>133</v>
      </c>
      <c r="J69" s="39">
        <v>4</v>
      </c>
      <c r="K69" s="61">
        <v>0</v>
      </c>
      <c r="L69" s="59">
        <v>297667</v>
      </c>
      <c r="M69" s="59">
        <v>0</v>
      </c>
      <c r="N69" s="21">
        <f t="shared" si="8"/>
        <v>297667</v>
      </c>
      <c r="O69" s="21"/>
      <c r="P69" s="21"/>
      <c r="Q69" s="21"/>
      <c r="R69" s="21">
        <f t="shared" si="9"/>
        <v>297667</v>
      </c>
      <c r="S69" s="62">
        <f>165858+37909+3600</f>
        <v>207367</v>
      </c>
      <c r="T69" s="23">
        <f t="shared" si="10"/>
        <v>0.69664087722186196</v>
      </c>
      <c r="U69" s="66">
        <f>165858+37909+3600</f>
        <v>207367</v>
      </c>
      <c r="V69" s="23">
        <f t="shared" si="11"/>
        <v>0.69664087722186196</v>
      </c>
      <c r="W69" s="59">
        <f>165858+37909+3600</f>
        <v>207367</v>
      </c>
      <c r="X69" s="23">
        <f t="shared" si="13"/>
        <v>0.69664087722186196</v>
      </c>
      <c r="Y69" s="5"/>
      <c r="Z69" s="5"/>
      <c r="AA69" s="5"/>
    </row>
    <row r="70" spans="1:27" ht="63" customHeight="1">
      <c r="A70" s="17" t="s">
        <v>81</v>
      </c>
      <c r="B70" s="18" t="s">
        <v>82</v>
      </c>
      <c r="C70" s="18" t="s">
        <v>47</v>
      </c>
      <c r="D70" s="18" t="s">
        <v>105</v>
      </c>
      <c r="E70" s="28" t="s">
        <v>60</v>
      </c>
      <c r="F70" s="28" t="s">
        <v>106</v>
      </c>
      <c r="G70" s="18" t="s">
        <v>50</v>
      </c>
      <c r="H70" s="67" t="s">
        <v>137</v>
      </c>
      <c r="I70" s="67" t="s">
        <v>136</v>
      </c>
      <c r="J70" s="73">
        <v>3</v>
      </c>
      <c r="K70" s="61">
        <v>0</v>
      </c>
      <c r="L70" s="59">
        <v>773.9</v>
      </c>
      <c r="M70" s="59">
        <v>0</v>
      </c>
      <c r="N70" s="21">
        <f t="shared" si="8"/>
        <v>773.9</v>
      </c>
      <c r="O70" s="21"/>
      <c r="P70" s="21"/>
      <c r="Q70" s="21"/>
      <c r="R70" s="21">
        <f t="shared" si="9"/>
        <v>773.9</v>
      </c>
      <c r="S70" s="62">
        <v>0</v>
      </c>
      <c r="T70" s="23">
        <f t="shared" si="10"/>
        <v>0</v>
      </c>
      <c r="U70" s="64">
        <v>0</v>
      </c>
      <c r="V70" s="23">
        <f t="shared" si="11"/>
        <v>0</v>
      </c>
      <c r="W70" s="59">
        <v>0</v>
      </c>
      <c r="X70" s="23">
        <f t="shared" si="13"/>
        <v>0</v>
      </c>
      <c r="Y70" s="5"/>
      <c r="Z70" s="5"/>
      <c r="AA70" s="5"/>
    </row>
    <row r="71" spans="1:27" ht="63" customHeight="1">
      <c r="A71" s="17" t="s">
        <v>81</v>
      </c>
      <c r="B71" s="18" t="s">
        <v>82</v>
      </c>
      <c r="C71" s="18" t="s">
        <v>47</v>
      </c>
      <c r="D71" s="18" t="s">
        <v>107</v>
      </c>
      <c r="E71" s="28" t="s">
        <v>60</v>
      </c>
      <c r="F71" s="18" t="s">
        <v>108</v>
      </c>
      <c r="G71" s="18" t="s">
        <v>50</v>
      </c>
      <c r="H71" s="58" t="s">
        <v>123</v>
      </c>
      <c r="I71" s="67" t="s">
        <v>133</v>
      </c>
      <c r="J71" s="73">
        <v>3</v>
      </c>
      <c r="K71" s="61">
        <v>600000</v>
      </c>
      <c r="L71" s="59">
        <v>32600</v>
      </c>
      <c r="M71" s="59">
        <v>32600</v>
      </c>
      <c r="N71" s="21">
        <f t="shared" si="8"/>
        <v>600000</v>
      </c>
      <c r="O71" s="21"/>
      <c r="P71" s="21"/>
      <c r="Q71" s="21"/>
      <c r="R71" s="21">
        <f t="shared" si="9"/>
        <v>600000</v>
      </c>
      <c r="S71" s="62">
        <v>345276.61</v>
      </c>
      <c r="T71" s="23">
        <f t="shared" si="10"/>
        <v>0.5754610166666666</v>
      </c>
      <c r="U71" s="64">
        <v>345276.61</v>
      </c>
      <c r="V71" s="23">
        <f t="shared" si="11"/>
        <v>0.5754610166666666</v>
      </c>
      <c r="W71" s="59">
        <v>345276.61</v>
      </c>
      <c r="X71" s="23">
        <f t="shared" si="13"/>
        <v>0.5754610166666666</v>
      </c>
      <c r="Y71" s="5"/>
      <c r="Z71" s="5"/>
      <c r="AA71" s="5"/>
    </row>
    <row r="72" spans="1:27" ht="63" customHeight="1">
      <c r="A72" s="72" t="s">
        <v>81</v>
      </c>
      <c r="B72" s="58" t="s">
        <v>82</v>
      </c>
      <c r="C72" s="58" t="s">
        <v>47</v>
      </c>
      <c r="D72" s="58" t="s">
        <v>138</v>
      </c>
      <c r="E72" s="28" t="s">
        <v>60</v>
      </c>
      <c r="F72" s="18" t="s">
        <v>108</v>
      </c>
      <c r="G72" s="58" t="s">
        <v>50</v>
      </c>
      <c r="H72" s="58" t="s">
        <v>135</v>
      </c>
      <c r="I72" s="67" t="s">
        <v>133</v>
      </c>
      <c r="J72" s="79">
        <v>3</v>
      </c>
      <c r="K72" s="61">
        <v>0</v>
      </c>
      <c r="L72" s="59">
        <v>360000</v>
      </c>
      <c r="M72" s="59">
        <v>0</v>
      </c>
      <c r="N72" s="21">
        <f t="shared" si="8"/>
        <v>360000</v>
      </c>
      <c r="O72" s="21"/>
      <c r="P72" s="21"/>
      <c r="Q72" s="21"/>
      <c r="R72" s="21">
        <f t="shared" si="9"/>
        <v>360000</v>
      </c>
      <c r="S72" s="62">
        <v>153356.73000000001</v>
      </c>
      <c r="T72" s="23">
        <f t="shared" si="10"/>
        <v>0.42599091666666672</v>
      </c>
      <c r="U72" s="64">
        <v>153356.73000000001</v>
      </c>
      <c r="V72" s="23">
        <f t="shared" si="11"/>
        <v>0.42599091666666672</v>
      </c>
      <c r="W72" s="59">
        <v>153356.73000000001</v>
      </c>
      <c r="X72" s="23">
        <f t="shared" si="13"/>
        <v>0.42599091666666672</v>
      </c>
      <c r="Y72" s="5"/>
      <c r="Z72" s="5"/>
      <c r="AA72" s="5"/>
    </row>
    <row r="73" spans="1:27" ht="63" customHeight="1">
      <c r="A73" s="17" t="s">
        <v>81</v>
      </c>
      <c r="B73" s="18" t="s">
        <v>82</v>
      </c>
      <c r="C73" s="18" t="s">
        <v>47</v>
      </c>
      <c r="D73" s="18" t="s">
        <v>65</v>
      </c>
      <c r="E73" s="28" t="s">
        <v>60</v>
      </c>
      <c r="F73" s="18" t="s">
        <v>66</v>
      </c>
      <c r="G73" s="18" t="s">
        <v>50</v>
      </c>
      <c r="H73" s="58" t="s">
        <v>123</v>
      </c>
      <c r="I73" s="67" t="s">
        <v>133</v>
      </c>
      <c r="J73" s="73">
        <v>3</v>
      </c>
      <c r="K73" s="61">
        <v>15000</v>
      </c>
      <c r="L73" s="59">
        <v>0</v>
      </c>
      <c r="M73" s="59">
        <v>0</v>
      </c>
      <c r="N73" s="21">
        <f t="shared" si="8"/>
        <v>15000</v>
      </c>
      <c r="O73" s="21"/>
      <c r="P73" s="21"/>
      <c r="Q73" s="21"/>
      <c r="R73" s="21">
        <f t="shared" si="9"/>
        <v>15000</v>
      </c>
      <c r="S73" s="62">
        <v>0</v>
      </c>
      <c r="T73" s="23">
        <f t="shared" si="10"/>
        <v>0</v>
      </c>
      <c r="U73" s="64">
        <v>0</v>
      </c>
      <c r="V73" s="23">
        <f t="shared" si="11"/>
        <v>0</v>
      </c>
      <c r="W73" s="59">
        <v>0</v>
      </c>
      <c r="X73" s="23">
        <f t="shared" si="13"/>
        <v>0</v>
      </c>
      <c r="Y73" s="5"/>
      <c r="Z73" s="5"/>
      <c r="AA73" s="5"/>
    </row>
    <row r="74" spans="1:27" ht="63" customHeight="1">
      <c r="A74" s="17" t="s">
        <v>81</v>
      </c>
      <c r="B74" s="28" t="s">
        <v>82</v>
      </c>
      <c r="C74" s="28" t="s">
        <v>47</v>
      </c>
      <c r="D74" s="28" t="s">
        <v>65</v>
      </c>
      <c r="E74" s="28" t="s">
        <v>60</v>
      </c>
      <c r="F74" s="28" t="s">
        <v>66</v>
      </c>
      <c r="G74" s="28" t="s">
        <v>50</v>
      </c>
      <c r="H74" s="67" t="s">
        <v>135</v>
      </c>
      <c r="I74" s="67" t="s">
        <v>133</v>
      </c>
      <c r="J74" s="73">
        <v>3</v>
      </c>
      <c r="K74" s="61">
        <v>0</v>
      </c>
      <c r="L74" s="62">
        <v>121000</v>
      </c>
      <c r="M74" s="62">
        <v>0</v>
      </c>
      <c r="N74" s="31">
        <f t="shared" si="8"/>
        <v>121000</v>
      </c>
      <c r="O74" s="31"/>
      <c r="P74" s="31"/>
      <c r="Q74" s="31"/>
      <c r="R74" s="31">
        <f t="shared" si="9"/>
        <v>121000</v>
      </c>
      <c r="S74" s="62">
        <v>96297.62</v>
      </c>
      <c r="T74" s="33">
        <f t="shared" si="10"/>
        <v>0.7958480991735537</v>
      </c>
      <c r="U74" s="64">
        <v>88596.62</v>
      </c>
      <c r="V74" s="33">
        <f t="shared" si="11"/>
        <v>0.73220347107438011</v>
      </c>
      <c r="W74" s="62">
        <v>88596.62</v>
      </c>
      <c r="X74" s="33">
        <f t="shared" si="13"/>
        <v>0.73220347107438011</v>
      </c>
      <c r="Y74" s="5"/>
      <c r="Z74" s="5"/>
      <c r="AA74" s="5"/>
    </row>
    <row r="75" spans="1:27" ht="63" customHeight="1">
      <c r="A75" s="17" t="s">
        <v>81</v>
      </c>
      <c r="B75" s="28" t="s">
        <v>82</v>
      </c>
      <c r="C75" s="28" t="s">
        <v>109</v>
      </c>
      <c r="D75" s="28" t="s">
        <v>110</v>
      </c>
      <c r="E75" s="67" t="s">
        <v>84</v>
      </c>
      <c r="F75" s="28" t="s">
        <v>111</v>
      </c>
      <c r="G75" s="28" t="s">
        <v>50</v>
      </c>
      <c r="H75" s="67" t="s">
        <v>123</v>
      </c>
      <c r="I75" s="67" t="s">
        <v>133</v>
      </c>
      <c r="J75" s="73">
        <v>3</v>
      </c>
      <c r="K75" s="29">
        <f>21000000-K76</f>
        <v>20000000</v>
      </c>
      <c r="L75" s="62">
        <f>5001332.77-L76</f>
        <v>1699672.7699999996</v>
      </c>
      <c r="M75" s="62">
        <f>4890332.77-M76</f>
        <v>4364332.7699999996</v>
      </c>
      <c r="N75" s="31">
        <f t="shared" si="8"/>
        <v>17335340</v>
      </c>
      <c r="O75" s="31"/>
      <c r="P75" s="31"/>
      <c r="Q75" s="31"/>
      <c r="R75" s="31">
        <f t="shared" si="9"/>
        <v>17335340</v>
      </c>
      <c r="S75" s="30">
        <f>19114466.5-S76</f>
        <v>15500166.5</v>
      </c>
      <c r="T75" s="33">
        <f t="shared" si="10"/>
        <v>0.89413686146334592</v>
      </c>
      <c r="U75" s="64">
        <f>13670363.44-U76</f>
        <v>10056063.439999999</v>
      </c>
      <c r="V75" s="33">
        <f t="shared" si="11"/>
        <v>0.58009034954030314</v>
      </c>
      <c r="W75" s="62">
        <f>13670363.44-W76</f>
        <v>10056063.439999999</v>
      </c>
      <c r="X75" s="33">
        <f t="shared" si="13"/>
        <v>0.58009034954030314</v>
      </c>
      <c r="Y75" s="5"/>
      <c r="Z75" s="5"/>
      <c r="AA75" s="5"/>
    </row>
    <row r="76" spans="1:27" ht="63" customHeight="1">
      <c r="A76" s="17" t="s">
        <v>81</v>
      </c>
      <c r="B76" s="18" t="s">
        <v>82</v>
      </c>
      <c r="C76" s="18" t="s">
        <v>109</v>
      </c>
      <c r="D76" s="18" t="s">
        <v>110</v>
      </c>
      <c r="E76" s="67" t="s">
        <v>84</v>
      </c>
      <c r="F76" s="18" t="s">
        <v>111</v>
      </c>
      <c r="G76" s="18" t="s">
        <v>50</v>
      </c>
      <c r="H76" s="58" t="s">
        <v>123</v>
      </c>
      <c r="I76" s="67" t="s">
        <v>133</v>
      </c>
      <c r="J76" s="39">
        <v>4</v>
      </c>
      <c r="K76" s="61">
        <f>1000000</f>
        <v>1000000</v>
      </c>
      <c r="L76" s="59">
        <f>2246300+1055360</f>
        <v>3301660</v>
      </c>
      <c r="M76" s="59">
        <f>526000</f>
        <v>526000</v>
      </c>
      <c r="N76" s="21">
        <f t="shared" si="8"/>
        <v>3775660</v>
      </c>
      <c r="O76" s="21"/>
      <c r="P76" s="21"/>
      <c r="Q76" s="21"/>
      <c r="R76" s="21">
        <f t="shared" si="9"/>
        <v>3775660</v>
      </c>
      <c r="S76" s="62">
        <f>2246300+1368000</f>
        <v>3614300</v>
      </c>
      <c r="T76" s="23">
        <f t="shared" si="10"/>
        <v>0.95726310102074874</v>
      </c>
      <c r="U76" s="66">
        <f>2246300+1368000</f>
        <v>3614300</v>
      </c>
      <c r="V76" s="23">
        <f t="shared" si="11"/>
        <v>0.95726310102074874</v>
      </c>
      <c r="W76" s="59">
        <f>2246300+1368000</f>
        <v>3614300</v>
      </c>
      <c r="X76" s="23">
        <f t="shared" si="13"/>
        <v>0.95726310102074874</v>
      </c>
      <c r="Y76" s="5"/>
      <c r="Z76" s="5"/>
      <c r="AA76" s="5"/>
    </row>
    <row r="77" spans="1:27" ht="63" customHeight="1">
      <c r="A77" s="17" t="s">
        <v>81</v>
      </c>
      <c r="B77" s="18" t="s">
        <v>82</v>
      </c>
      <c r="C77" s="18" t="s">
        <v>109</v>
      </c>
      <c r="D77" s="28" t="s">
        <v>110</v>
      </c>
      <c r="E77" s="67" t="s">
        <v>84</v>
      </c>
      <c r="F77" s="18" t="s">
        <v>111</v>
      </c>
      <c r="G77" s="18" t="s">
        <v>50</v>
      </c>
      <c r="H77" s="58" t="s">
        <v>135</v>
      </c>
      <c r="I77" s="67" t="s">
        <v>133</v>
      </c>
      <c r="J77" s="73">
        <v>3</v>
      </c>
      <c r="K77" s="61">
        <v>0</v>
      </c>
      <c r="L77" s="59">
        <f>6962050-L78</f>
        <v>1360000</v>
      </c>
      <c r="M77" s="59">
        <v>0</v>
      </c>
      <c r="N77" s="21">
        <f t="shared" si="8"/>
        <v>1360000</v>
      </c>
      <c r="O77" s="21"/>
      <c r="P77" s="21"/>
      <c r="Q77" s="21"/>
      <c r="R77" s="21">
        <f t="shared" si="9"/>
        <v>1360000</v>
      </c>
      <c r="S77" s="62">
        <f>6892499.7-S78</f>
        <v>1306709.7000000002</v>
      </c>
      <c r="T77" s="23">
        <f t="shared" si="10"/>
        <v>0.96081595588235302</v>
      </c>
      <c r="U77" s="64">
        <f>2011630.68-U78</f>
        <v>50380.679999999935</v>
      </c>
      <c r="V77" s="23">
        <f t="shared" si="11"/>
        <v>3.7044617647058777E-2</v>
      </c>
      <c r="W77" s="59">
        <f>2011630.68-W78</f>
        <v>50380.679999999935</v>
      </c>
      <c r="X77" s="23">
        <f t="shared" si="13"/>
        <v>3.7044617647058777E-2</v>
      </c>
      <c r="Y77" s="5"/>
      <c r="Z77" s="5"/>
      <c r="AA77" s="5"/>
    </row>
    <row r="78" spans="1:27" ht="63" customHeight="1">
      <c r="A78" s="17" t="s">
        <v>81</v>
      </c>
      <c r="B78" s="18" t="s">
        <v>82</v>
      </c>
      <c r="C78" s="18" t="s">
        <v>109</v>
      </c>
      <c r="D78" s="28" t="s">
        <v>110</v>
      </c>
      <c r="E78" s="67" t="s">
        <v>84</v>
      </c>
      <c r="F78" s="18" t="s">
        <v>111</v>
      </c>
      <c r="G78" s="18" t="s">
        <v>50</v>
      </c>
      <c r="H78" s="58" t="s">
        <v>135</v>
      </c>
      <c r="I78" s="67" t="s">
        <v>133</v>
      </c>
      <c r="J78" s="39">
        <v>4</v>
      </c>
      <c r="K78" s="61">
        <v>0</v>
      </c>
      <c r="L78" s="59">
        <v>5602050</v>
      </c>
      <c r="M78" s="59">
        <v>0</v>
      </c>
      <c r="N78" s="21">
        <f t="shared" si="8"/>
        <v>5602050</v>
      </c>
      <c r="O78" s="21"/>
      <c r="P78" s="21"/>
      <c r="Q78" s="21"/>
      <c r="R78" s="21">
        <f t="shared" si="9"/>
        <v>5602050</v>
      </c>
      <c r="S78" s="62">
        <f>5585790</f>
        <v>5585790</v>
      </c>
      <c r="T78" s="23">
        <f t="shared" si="10"/>
        <v>0.99709749109700918</v>
      </c>
      <c r="U78" s="66">
        <f>1961250</f>
        <v>1961250</v>
      </c>
      <c r="V78" s="23">
        <f t="shared" si="11"/>
        <v>0.35009505448898171</v>
      </c>
      <c r="W78" s="59">
        <f>1961250</f>
        <v>1961250</v>
      </c>
      <c r="X78" s="23">
        <f t="shared" si="13"/>
        <v>0.35009505448898171</v>
      </c>
      <c r="Y78" s="5"/>
      <c r="Z78" s="5"/>
      <c r="AA78" s="5"/>
    </row>
    <row r="79" spans="1:27" ht="63" customHeight="1">
      <c r="A79" s="17" t="s">
        <v>81</v>
      </c>
      <c r="B79" s="18" t="s">
        <v>82</v>
      </c>
      <c r="C79" s="18" t="s">
        <v>109</v>
      </c>
      <c r="D79" s="18" t="s">
        <v>112</v>
      </c>
      <c r="E79" s="28" t="s">
        <v>60</v>
      </c>
      <c r="F79" s="18" t="s">
        <v>113</v>
      </c>
      <c r="G79" s="18" t="s">
        <v>50</v>
      </c>
      <c r="H79" s="58" t="s">
        <v>123</v>
      </c>
      <c r="I79" s="67" t="s">
        <v>133</v>
      </c>
      <c r="J79" s="73">
        <v>3</v>
      </c>
      <c r="K79" s="61">
        <f>8700000-K80</f>
        <v>8000000</v>
      </c>
      <c r="L79" s="59">
        <v>175252.44</v>
      </c>
      <c r="M79" s="59">
        <f>1765449.68-M80</f>
        <v>1306197.24</v>
      </c>
      <c r="N79" s="21">
        <f t="shared" si="8"/>
        <v>6869055.2000000002</v>
      </c>
      <c r="O79" s="21"/>
      <c r="P79" s="21"/>
      <c r="Q79" s="21"/>
      <c r="R79" s="21">
        <f t="shared" si="9"/>
        <v>6869055.2000000002</v>
      </c>
      <c r="S79" s="62">
        <f>6769262.14-S80</f>
        <v>6660353.1399999997</v>
      </c>
      <c r="T79" s="23">
        <f t="shared" si="10"/>
        <v>0.96961706465832442</v>
      </c>
      <c r="U79" s="64">
        <f>2617669.05-U80</f>
        <v>2508760.0499999998</v>
      </c>
      <c r="V79" s="23">
        <f t="shared" si="11"/>
        <v>0.36522636329956992</v>
      </c>
      <c r="W79" s="59">
        <f>2617669.05-W80</f>
        <v>2508760.0499999998</v>
      </c>
      <c r="X79" s="23">
        <f t="shared" si="13"/>
        <v>0.36522636329956992</v>
      </c>
      <c r="Y79" s="5"/>
      <c r="Z79" s="5"/>
      <c r="AA79" s="5"/>
    </row>
    <row r="80" spans="1:27" ht="63" customHeight="1">
      <c r="A80" s="17" t="s">
        <v>81</v>
      </c>
      <c r="B80" s="18" t="s">
        <v>82</v>
      </c>
      <c r="C80" s="18" t="s">
        <v>109</v>
      </c>
      <c r="D80" s="18" t="s">
        <v>112</v>
      </c>
      <c r="E80" s="28" t="s">
        <v>60</v>
      </c>
      <c r="F80" s="18" t="s">
        <v>113</v>
      </c>
      <c r="G80" s="18" t="s">
        <v>50</v>
      </c>
      <c r="H80" s="58" t="s">
        <v>123</v>
      </c>
      <c r="I80" s="67" t="s">
        <v>133</v>
      </c>
      <c r="J80" s="39">
        <v>4</v>
      </c>
      <c r="K80" s="61">
        <f>200000+500000</f>
        <v>700000</v>
      </c>
      <c r="L80" s="59">
        <v>0</v>
      </c>
      <c r="M80" s="59">
        <f>125252.44+334000</f>
        <v>459252.44</v>
      </c>
      <c r="N80" s="21">
        <f t="shared" si="8"/>
        <v>240747.56</v>
      </c>
      <c r="O80" s="21"/>
      <c r="P80" s="21"/>
      <c r="Q80" s="21"/>
      <c r="R80" s="21">
        <f t="shared" si="9"/>
        <v>240747.56</v>
      </c>
      <c r="S80" s="62">
        <v>108909</v>
      </c>
      <c r="T80" s="23">
        <f t="shared" si="10"/>
        <v>0.45237841662860467</v>
      </c>
      <c r="U80" s="66">
        <f>108909</f>
        <v>108909</v>
      </c>
      <c r="V80" s="23">
        <f t="shared" si="11"/>
        <v>0.45237841662860467</v>
      </c>
      <c r="W80" s="59">
        <v>108909</v>
      </c>
      <c r="X80" s="23">
        <f t="shared" si="13"/>
        <v>0.45237841662860467</v>
      </c>
      <c r="Y80" s="5"/>
      <c r="Z80" s="5"/>
      <c r="AA80" s="5"/>
    </row>
    <row r="81" spans="1:27" ht="63" customHeight="1">
      <c r="A81" s="17" t="s">
        <v>81</v>
      </c>
      <c r="B81" s="18" t="s">
        <v>82</v>
      </c>
      <c r="C81" s="18" t="s">
        <v>109</v>
      </c>
      <c r="D81" s="18" t="s">
        <v>112</v>
      </c>
      <c r="E81" s="28" t="s">
        <v>60</v>
      </c>
      <c r="F81" s="18" t="s">
        <v>113</v>
      </c>
      <c r="G81" s="18" t="s">
        <v>50</v>
      </c>
      <c r="H81" s="58" t="s">
        <v>135</v>
      </c>
      <c r="I81" s="67" t="s">
        <v>133</v>
      </c>
      <c r="J81" s="73">
        <v>3</v>
      </c>
      <c r="K81" s="61">
        <v>0</v>
      </c>
      <c r="L81" s="59">
        <v>3536951.68</v>
      </c>
      <c r="M81" s="59">
        <v>0</v>
      </c>
      <c r="N81" s="21">
        <f t="shared" si="8"/>
        <v>3536951.68</v>
      </c>
      <c r="O81" s="21"/>
      <c r="P81" s="21"/>
      <c r="Q81" s="21"/>
      <c r="R81" s="21">
        <f t="shared" si="9"/>
        <v>3536951.68</v>
      </c>
      <c r="S81" s="62">
        <v>2871796.6</v>
      </c>
      <c r="T81" s="23">
        <f t="shared" si="10"/>
        <v>0.81194114588526123</v>
      </c>
      <c r="U81" s="64">
        <v>165997.62</v>
      </c>
      <c r="V81" s="23">
        <f t="shared" si="11"/>
        <v>4.6932396882504196E-2</v>
      </c>
      <c r="W81" s="59">
        <v>165997.62</v>
      </c>
      <c r="X81" s="23">
        <f t="shared" si="13"/>
        <v>4.6932396882504196E-2</v>
      </c>
      <c r="Y81" s="5"/>
      <c r="Z81" s="5"/>
      <c r="AA81" s="5"/>
    </row>
    <row r="82" spans="1:27" ht="63" customHeight="1">
      <c r="A82" s="17" t="s">
        <v>81</v>
      </c>
      <c r="B82" s="18" t="s">
        <v>82</v>
      </c>
      <c r="C82" s="18" t="s">
        <v>70</v>
      </c>
      <c r="D82" s="18" t="s">
        <v>71</v>
      </c>
      <c r="E82" s="28" t="s">
        <v>60</v>
      </c>
      <c r="F82" s="18" t="s">
        <v>114</v>
      </c>
      <c r="G82" s="18" t="s">
        <v>50</v>
      </c>
      <c r="H82" s="58" t="s">
        <v>126</v>
      </c>
      <c r="I82" s="58" t="s">
        <v>136</v>
      </c>
      <c r="J82" s="73">
        <v>3</v>
      </c>
      <c r="K82" s="61">
        <v>998000</v>
      </c>
      <c r="L82" s="59">
        <v>579023</v>
      </c>
      <c r="M82" s="59">
        <v>579023</v>
      </c>
      <c r="N82" s="21">
        <f t="shared" si="8"/>
        <v>998000</v>
      </c>
      <c r="O82" s="21"/>
      <c r="P82" s="21"/>
      <c r="Q82" s="21"/>
      <c r="R82" s="21">
        <f t="shared" si="9"/>
        <v>998000</v>
      </c>
      <c r="S82" s="62">
        <v>898480</v>
      </c>
      <c r="T82" s="23">
        <f t="shared" si="10"/>
        <v>0.90028056112224453</v>
      </c>
      <c r="U82" s="64">
        <v>502746</v>
      </c>
      <c r="V82" s="23">
        <f t="shared" si="11"/>
        <v>0.5037535070140281</v>
      </c>
      <c r="W82" s="59">
        <v>501178.23</v>
      </c>
      <c r="X82" s="23">
        <f t="shared" si="13"/>
        <v>0.50218259519038078</v>
      </c>
      <c r="Y82" s="5"/>
      <c r="Z82" s="5"/>
      <c r="AA82" s="5"/>
    </row>
    <row r="83" spans="1:27" ht="63" customHeight="1">
      <c r="A83" s="17" t="s">
        <v>81</v>
      </c>
      <c r="B83" s="18" t="s">
        <v>82</v>
      </c>
      <c r="C83" s="18" t="s">
        <v>70</v>
      </c>
      <c r="D83" s="18" t="s">
        <v>71</v>
      </c>
      <c r="E83" s="28" t="s">
        <v>60</v>
      </c>
      <c r="F83" s="18" t="s">
        <v>114</v>
      </c>
      <c r="G83" s="18" t="s">
        <v>50</v>
      </c>
      <c r="H83" s="58" t="s">
        <v>137</v>
      </c>
      <c r="I83" s="58" t="s">
        <v>136</v>
      </c>
      <c r="J83" s="73">
        <v>3</v>
      </c>
      <c r="K83" s="61">
        <v>0</v>
      </c>
      <c r="L83" s="59">
        <v>1408755.7</v>
      </c>
      <c r="M83" s="59">
        <v>61200</v>
      </c>
      <c r="N83" s="21">
        <f t="shared" si="8"/>
        <v>1347555.7</v>
      </c>
      <c r="O83" s="21"/>
      <c r="P83" s="21"/>
      <c r="Q83" s="21"/>
      <c r="R83" s="21">
        <f t="shared" si="9"/>
        <v>1347555.7</v>
      </c>
      <c r="S83" s="62">
        <v>1000786.43</v>
      </c>
      <c r="T83" s="23">
        <f t="shared" si="10"/>
        <v>0.74266795057154233</v>
      </c>
      <c r="U83" s="64">
        <v>722213.13</v>
      </c>
      <c r="V83" s="23">
        <f t="shared" si="11"/>
        <v>0.53594306342958586</v>
      </c>
      <c r="W83" s="59">
        <v>721440.38</v>
      </c>
      <c r="X83" s="23">
        <f t="shared" si="13"/>
        <v>0.53536961774567093</v>
      </c>
      <c r="Y83" s="5"/>
      <c r="Z83" s="5"/>
      <c r="AA83" s="5"/>
    </row>
    <row r="84" spans="1:27" ht="15.75" customHeight="1">
      <c r="A84" s="95" t="s">
        <v>115</v>
      </c>
      <c r="B84" s="83"/>
      <c r="C84" s="83"/>
      <c r="D84" s="83"/>
      <c r="E84" s="83"/>
      <c r="F84" s="83"/>
      <c r="G84" s="83"/>
      <c r="H84" s="83"/>
      <c r="I84" s="83"/>
      <c r="J84" s="84"/>
      <c r="K84" s="34">
        <f t="shared" ref="K84:N84" si="14">SUM(K33:K83)</f>
        <v>151078000</v>
      </c>
      <c r="L84" s="34">
        <f t="shared" si="14"/>
        <v>110118026.99000001</v>
      </c>
      <c r="M84" s="34">
        <f t="shared" si="14"/>
        <v>41132416.970000006</v>
      </c>
      <c r="N84" s="34">
        <f t="shared" si="14"/>
        <v>220063610.02000001</v>
      </c>
      <c r="O84" s="34">
        <f t="shared" ref="O84:Q84" si="15">SUM(O33:O82)</f>
        <v>0</v>
      </c>
      <c r="P84" s="34">
        <f t="shared" si="15"/>
        <v>0</v>
      </c>
      <c r="Q84" s="34">
        <f t="shared" si="15"/>
        <v>0</v>
      </c>
      <c r="R84" s="34">
        <f t="shared" ref="R84:S84" si="16">SUM(R33:R83)</f>
        <v>220063610.02000001</v>
      </c>
      <c r="S84" s="34">
        <f t="shared" si="16"/>
        <v>162438520.55999997</v>
      </c>
      <c r="T84" s="35">
        <f t="shared" si="10"/>
        <v>0.73814348744545766</v>
      </c>
      <c r="U84" s="34">
        <f>SUM(U33:U83)</f>
        <v>95773044.260000005</v>
      </c>
      <c r="V84" s="35">
        <f t="shared" si="11"/>
        <v>0.4352061853901964</v>
      </c>
      <c r="W84" s="34">
        <f>SUM(W33:W83)</f>
        <v>95308641.260000005</v>
      </c>
      <c r="X84" s="35">
        <f t="shared" si="13"/>
        <v>0.43309587283121498</v>
      </c>
      <c r="Y84" s="5"/>
      <c r="Z84" s="5"/>
      <c r="AA84" s="5"/>
    </row>
    <row r="85" spans="1:27" ht="15.75" customHeight="1">
      <c r="A85" s="96" t="s">
        <v>116</v>
      </c>
      <c r="B85" s="83"/>
      <c r="C85" s="83"/>
      <c r="D85" s="83"/>
      <c r="E85" s="83"/>
      <c r="F85" s="83"/>
      <c r="G85" s="83"/>
      <c r="H85" s="83"/>
      <c r="I85" s="83"/>
      <c r="J85" s="84"/>
      <c r="K85" s="47">
        <f t="shared" ref="K85:S85" si="17">SUM(K30+K84)</f>
        <v>1094864000</v>
      </c>
      <c r="L85" s="47">
        <f t="shared" si="17"/>
        <v>176675097.44</v>
      </c>
      <c r="M85" s="47">
        <f t="shared" si="17"/>
        <v>107689487.42000002</v>
      </c>
      <c r="N85" s="47">
        <f t="shared" si="17"/>
        <v>1163849610.02</v>
      </c>
      <c r="O85" s="47">
        <f t="shared" si="17"/>
        <v>0</v>
      </c>
      <c r="P85" s="47">
        <f t="shared" si="17"/>
        <v>0</v>
      </c>
      <c r="Q85" s="47">
        <f t="shared" si="17"/>
        <v>-36448250.68</v>
      </c>
      <c r="R85" s="47" t="e">
        <f t="shared" si="17"/>
        <v>#VALUE!</v>
      </c>
      <c r="S85" s="47">
        <f t="shared" si="17"/>
        <v>841345812.85000002</v>
      </c>
      <c r="T85" s="48" t="e">
        <f t="shared" si="10"/>
        <v>#VALUE!</v>
      </c>
      <c r="U85" s="47">
        <f>SUM(U30+U84)</f>
        <v>774600336.55000007</v>
      </c>
      <c r="V85" s="48" t="e">
        <f t="shared" si="11"/>
        <v>#VALUE!</v>
      </c>
      <c r="W85" s="47">
        <f>SUM(W30+W84)</f>
        <v>770769701.67000008</v>
      </c>
      <c r="X85" s="48" t="e">
        <f t="shared" si="13"/>
        <v>#VALUE!</v>
      </c>
      <c r="Y85" s="25"/>
      <c r="Z85" s="5"/>
      <c r="AA85" s="5"/>
    </row>
    <row r="86" spans="1:27" ht="14.25" customHeight="1">
      <c r="A86" s="49" t="s">
        <v>117</v>
      </c>
      <c r="B86" s="50"/>
      <c r="C86" s="50"/>
      <c r="D86" s="50"/>
      <c r="E86" s="50"/>
      <c r="F86" s="50"/>
      <c r="G86" s="50"/>
      <c r="H86" s="51"/>
      <c r="I86" s="51"/>
      <c r="J86" s="51"/>
      <c r="K86" s="50"/>
      <c r="L86" s="50"/>
      <c r="M86" s="52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"/>
      <c r="Z86" s="5"/>
      <c r="AA86" s="5"/>
    </row>
    <row r="87" spans="1:27" ht="14.25" customHeight="1">
      <c r="A87" s="49" t="s">
        <v>118</v>
      </c>
      <c r="B87" s="54"/>
      <c r="C87" s="50"/>
      <c r="D87" s="50"/>
      <c r="E87" s="50"/>
      <c r="F87" s="50"/>
      <c r="G87" s="50"/>
      <c r="H87" s="51"/>
      <c r="I87" s="51"/>
      <c r="J87" s="51"/>
      <c r="K87" s="50"/>
      <c r="L87" s="50"/>
      <c r="M87" s="52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"/>
      <c r="Z87" s="5"/>
      <c r="AA87" s="5"/>
    </row>
    <row r="88" spans="1:27" ht="14.25" customHeight="1">
      <c r="A88" s="97" t="s">
        <v>119</v>
      </c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4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"/>
      <c r="Z88" s="5"/>
      <c r="AA88" s="5"/>
    </row>
    <row r="89" spans="1:27" ht="14.25" customHeight="1">
      <c r="A89" s="74" t="s">
        <v>139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3"/>
      <c r="O89" s="53"/>
      <c r="P89" s="53"/>
      <c r="Q89" s="5"/>
      <c r="R89" s="5"/>
      <c r="S89" s="5"/>
      <c r="T89" s="5"/>
      <c r="U89" s="5"/>
      <c r="V89" s="5"/>
      <c r="W89" s="5"/>
      <c r="X89" s="55"/>
      <c r="Y89" s="5"/>
      <c r="Z89" s="5"/>
      <c r="AA89" s="5"/>
    </row>
    <row r="90" spans="1:27" ht="14.25" customHeight="1">
      <c r="A90" s="98"/>
      <c r="B90" s="86"/>
      <c r="C90" s="86"/>
      <c r="D90" s="86"/>
      <c r="E90" s="86"/>
      <c r="F90" s="86"/>
      <c r="G90" s="86"/>
      <c r="H90" s="87"/>
      <c r="I90" s="5"/>
      <c r="J90" s="5"/>
      <c r="K90" s="5"/>
      <c r="L90" s="5"/>
      <c r="M90" s="5"/>
      <c r="N90" s="53"/>
      <c r="O90" s="53"/>
      <c r="P90" s="53"/>
      <c r="Q90" s="5"/>
      <c r="R90" s="5"/>
      <c r="S90" s="5"/>
      <c r="T90" s="5"/>
      <c r="U90" s="5"/>
      <c r="V90" s="5"/>
      <c r="W90" s="5"/>
      <c r="X90" s="55"/>
      <c r="Y90" s="5"/>
      <c r="Z90" s="5"/>
      <c r="AA90" s="5"/>
    </row>
    <row r="91" spans="1:27" ht="14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spans="1:27" ht="14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spans="1:27" ht="14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spans="1:27" ht="14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spans="1:27" ht="14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spans="1:27" ht="14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spans="1:27" ht="14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spans="1:27" ht="14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4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spans="1:27" ht="14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spans="1:27" ht="14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spans="1:27" ht="14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spans="1:27" ht="14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spans="1:27" ht="14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spans="1:27" ht="14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spans="1:27" ht="14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spans="1:27" ht="14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spans="1:27" ht="14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spans="1:27" ht="14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spans="1:27" ht="14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4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spans="1:27" ht="14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spans="1:27" ht="14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spans="1:27" ht="14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spans="1:27" ht="14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spans="1:27" ht="14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spans="1:27" ht="14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spans="1:27" ht="14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spans="1:27" ht="14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spans="1:27" ht="14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spans="1:27" ht="14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spans="1:27" ht="14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spans="1:27" ht="14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spans="1:27" ht="14.2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spans="1:27" ht="14.2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spans="1:27" ht="14.2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spans="1:27" ht="14.2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spans="1:27" ht="14.2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4.2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spans="1:27" ht="14.2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spans="1:27" ht="14.2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spans="1:27" ht="14.2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spans="1:27" ht="14.2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spans="1:27" ht="14.2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spans="1:27" ht="14.2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spans="1:27" ht="14.2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spans="1:27" ht="14.2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spans="1:27" ht="14.2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spans="1:27" ht="14.2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spans="1:27" ht="14.2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spans="1:27" ht="14.2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spans="1:27" ht="14.2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4.2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spans="1:27" ht="14.2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spans="1:27" ht="14.2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spans="1:27" ht="14.2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spans="1:27" ht="14.2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spans="1:27" ht="14.2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spans="1:27" ht="14.2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spans="1:27" ht="14.2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spans="1:27" ht="14.2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spans="1:27" ht="14.2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spans="1:27" ht="14.2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spans="1:27" ht="14.2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spans="1:27" ht="14.2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spans="1:27" ht="14.2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spans="1:27" ht="14.2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4.2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spans="1:27" ht="14.2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spans="1:27" ht="14.2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spans="1:27" ht="14.2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spans="1:27" ht="14.2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spans="1:27" ht="14.2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spans="1:27" ht="14.2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spans="1:27" ht="14.2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spans="1:27" ht="14.2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spans="1:27" ht="14.2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spans="1:27" ht="14.2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spans="1:27" ht="14.2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spans="1:27" ht="14.2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spans="1:27" ht="14.2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4.2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spans="1:27" ht="14.2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spans="1:27" ht="14.2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spans="1:27" ht="14.2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spans="1:27" ht="14.2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spans="1:27" ht="14.2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spans="1:27" ht="14.2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spans="1:27" ht="14.2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spans="1:27" ht="14.2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spans="1:27" ht="14.2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spans="1:27" ht="14.2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spans="1:27" ht="14.2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spans="1:27" ht="14.2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spans="1:27" ht="14.2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spans="1:27" ht="14.2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spans="1:27" ht="14.2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spans="1:27" ht="14.2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spans="1:27" ht="14.2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spans="1:27" ht="14.2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spans="1:27" ht="14.2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spans="1:27" ht="14.2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spans="1:27" ht="14.2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spans="1:27" ht="14.2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spans="1:27" ht="14.2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spans="1:27" ht="14.2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spans="1:27" ht="14.2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spans="1:27" ht="14.2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spans="1:27" ht="14.2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spans="1:27" ht="14.2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spans="1:27" ht="14.2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spans="1:27" ht="14.2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spans="1:27" ht="14.2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spans="1:27" ht="14.2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spans="1:27" ht="14.2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spans="1:27" ht="14.2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spans="1:27" ht="14.2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spans="1:27" ht="14.2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spans="1:27" ht="14.2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spans="1:27" ht="14.2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spans="1:27" ht="14.2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spans="1:27" ht="14.2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spans="1:27" ht="14.2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14.2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4.2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spans="1:27" ht="14.2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spans="1:27" ht="14.2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spans="1:27" ht="14.2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4.2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4.2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4.2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4.2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4.2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4.2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4.2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4.2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4.2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4.2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4.2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4.2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4.2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4.2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4.2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4.2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4.2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4.2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4.2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4.2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4.2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4.2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4.2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4.2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4.2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4.2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4.2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4.2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4.2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4.2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4.2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4.2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4.2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4.2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4.2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4.2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4.2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4.2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4.2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4.2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4.2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4.2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4.2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4.2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4.2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4.2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4.2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4.2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4.2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4.2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4.2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4.2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4.2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4.2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4.2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4.2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4.2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4.2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4.2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4.2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4.2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4.2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4.2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4.2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4.2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4.2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4.2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4.2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4.2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4.2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4.2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4.2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4.2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4.2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4.2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4.2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4.2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4.2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4.2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4.2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4.2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4.2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4.2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4.2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4.2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4.2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4.2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4.2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4.2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4.2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4.2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4.2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4.2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4.2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4.2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4.2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4.2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4.2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4.2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4.2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4.2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4.2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4.2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4.2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4.2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4.2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4.2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4.2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4.2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4.2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4.2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4.2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4.2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4.2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4.2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4.2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4.2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4.2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4.2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4.2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4.2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4.2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4.2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4.2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4.2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4.2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4.2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4.2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4.2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4.2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4.2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4.2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4.2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4.2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4.2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4.2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4.2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4.2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4.2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4.2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4.2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4.2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4.2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4.2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4.2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4.2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4.2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4.2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4.2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4.2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4.2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4.2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4.2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4.2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4.2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4.2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4.2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4.2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4.2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4.2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4.2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4.2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4.2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4.2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4.2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4.2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4.2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4.2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4.2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4.2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4.2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4.2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4.2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4.2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4.2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4.2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4.2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4.2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4.2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4.2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4.2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4.2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4.2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4.2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4.2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4.2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4.2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4.2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4.2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4.2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4.2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4.2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4.2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4.2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4.2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4.2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4.2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4.2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4.2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4.2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4.2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4.2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4.2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4.2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4.2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4.2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4.2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4.2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4.2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4.2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4.2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4.2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4.2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4.2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4.2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4.2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4.2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4.2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4.2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4.2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4.2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4.2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4.2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4.2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4.2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4.2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4.2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4.2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4.2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4.2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4.2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4.2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4.2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4.2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4.2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4.2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4.2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4.2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4.2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4.2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4.2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4.2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4.2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4.2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4.2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4.2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4.2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4.2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4.2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4.2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4.2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4.2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4.2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4.2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4.2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4.2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4.2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4.2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4.2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4.2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4.2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4.2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4.2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4.2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4.2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4.2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4.2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4.2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4.2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4.2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4.2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4.2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4.2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4.2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4.2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4.2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4.2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4.2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4.2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4.2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4.2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4.2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4.2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4.2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4.2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4.2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4.2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4.2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4.2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4.2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4.2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4.2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4.2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4.2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4.2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4.2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4.2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4.2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4.2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4.2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4.2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4.2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4.2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4.2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4.2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4.2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4.2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4.2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4.2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4.2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4.2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4.2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4.2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4.2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4.2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4.2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4.2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4.2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4.2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4.2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4.2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4.2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4.2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4.2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4.2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4.2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4.2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4.2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4.2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4.2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4.2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4.2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4.2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4.2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4.2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4.2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4.2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4.2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4.2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4.2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4.2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4.2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4.2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4.2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4.2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4.2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4.2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4.2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4.2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4.2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4.2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4.2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4.2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4.2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4.2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4.2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4.2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4.2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4.2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4.2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4.2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4.2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4.2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4.2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4.2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4.2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4.2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4.2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4.2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4.2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4.2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4.2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4.2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4.2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4.2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4.2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4.2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4.2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4.2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4.2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4.2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4.2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4.2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4.2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4.2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4.2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4.2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4.2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4.2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4.2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4.2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4.2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4.2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4.2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4.2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4.2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4.2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4.2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4.2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4.2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4.2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4.2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4.2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4.2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4.2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4.2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4.2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4.2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4.2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4.2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4.2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4.2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4.2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4.2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4.2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4.2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4.2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4.2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4.2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4.2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4.2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4.2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4.2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4.2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4.2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4.2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4.2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4.2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4.2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4.2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4.2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4.2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4.2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4.2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4.2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4.2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4.2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4.2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4.2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4.2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4.2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4.2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4.2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4.2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4.2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4.2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4.2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4.2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4.2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4.2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4.2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4.2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4.2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4.2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4.2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4.2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4.2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4.2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4.2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4.2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4.2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4.2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4.2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4.2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4.2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4.2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4.2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4.2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4.2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4.2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4.2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4.2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4.2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4.2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4.2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4.2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4.2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4.2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4.2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4.2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4.2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4.2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4.2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4.2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4.2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4.2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4.2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4.2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4.2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4.2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4.2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4.2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4.2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4.2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4.2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4.2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4.2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4.2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4.2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4.2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4.2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4.2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4.2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4.2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4.2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4.2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4.2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4.2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4.2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4.2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4.2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4.2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4.2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4.2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4.2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4.2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4.2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4.2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4.2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4.2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4.2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4.2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4.2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4.2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4.2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4.2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4.2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4.2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4.2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4.2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4.2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4.2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4.2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4.2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4.2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4.2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4.2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4.2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4.2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4.2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4.2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4.2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4.2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4.2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4.2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4.2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4.2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4.2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4.2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4.2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4.2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4.2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4.2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4.2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4.2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4.2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4.2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4.2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4.2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4.2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4.2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4.2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4.2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4.2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4.2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4.2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4.2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4.2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4.2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4.2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4.2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4.2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4.2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4.2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4.2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4.2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4.2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4.2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4.2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4.2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4.2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4.2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4.2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4.2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4.2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4.2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4.2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4.2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4.2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4.2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4.2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4.2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4.2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4.2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4.2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4.2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4.2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4.2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4.2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4.2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4.2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4.2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4.2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4.2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4.2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4.2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4.2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4.2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4.2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4.2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4.2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4.2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4.2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4.2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4.2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4.2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4.2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4.2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4.2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4.2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4.2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4.2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4.2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4.2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4.2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4.2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4.2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4.2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4.2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4.2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4.2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4.2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4.2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4.2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4.2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4.2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4.2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4.2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4.2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4.2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4.2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4.2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4.2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4.2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4.2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4.2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4.2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4.2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4.2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4.2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4.2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4.2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4.2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4.2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4.2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4.2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4.2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4.2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4.2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4.2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4.2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4.2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4.2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4.2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4.2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4.2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4.2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4.2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4.2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14.2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14.2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14.2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14.2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14.2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14.2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14.2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14.2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14.2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14.2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14.2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14.2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14.2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14.2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ht="14.2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ht="14.2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ht="14.2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ht="14.2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ht="14.2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ht="14.2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ht="14.2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ht="14.2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ht="14.2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ht="14.2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ht="14.2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ht="14.2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ht="14.2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ht="14.2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ht="14.2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ht="14.2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ht="14.2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ht="14.2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ht="14.2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ht="14.2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ht="14.2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ht="14.2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ht="14.2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ht="14.2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ht="14.2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ht="14.2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ht="14.2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ht="14.2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ht="14.2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ht="14.2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ht="14.2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ht="14.2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ht="14.2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ht="14.2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ht="14.2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14.2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14.2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14.2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14.2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14.2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14.2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ht="14.2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ht="14.2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ht="14.2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ht="14.2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ht="14.2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ht="14.2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ht="14.2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ht="14.2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ht="14.2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ht="14.2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ht="14.2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ht="14.2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ht="14.2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ht="14.2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ht="14.2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ht="14.2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ht="14.2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1:27" ht="14.2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1:27" ht="14.2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1:27" ht="14.2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1:27" ht="14.2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1:27" ht="14.2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1:27" ht="14.2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1:27" ht="14.2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1:27" ht="14.2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1:27" ht="14.2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spans="1:27" ht="14.2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spans="1:27" ht="14.2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</sheetData>
  <mergeCells count="28">
    <mergeCell ref="A12:B12"/>
    <mergeCell ref="C12:C13"/>
    <mergeCell ref="D12:D13"/>
    <mergeCell ref="G12:G13"/>
    <mergeCell ref="J12:J13"/>
    <mergeCell ref="A30:J30"/>
    <mergeCell ref="A84:J84"/>
    <mergeCell ref="A85:J85"/>
    <mergeCell ref="A88:M88"/>
    <mergeCell ref="A90:H90"/>
    <mergeCell ref="A7:F7"/>
    <mergeCell ref="A9:X9"/>
    <mergeCell ref="P11:Q11"/>
    <mergeCell ref="S11:X11"/>
    <mergeCell ref="E12:F12"/>
    <mergeCell ref="H12:I12"/>
    <mergeCell ref="A8:F8"/>
    <mergeCell ref="A11:J11"/>
    <mergeCell ref="K11:K12"/>
    <mergeCell ref="L11:M11"/>
    <mergeCell ref="N11:N12"/>
    <mergeCell ref="O11:O12"/>
    <mergeCell ref="R11:R12"/>
    <mergeCell ref="A1:F1"/>
    <mergeCell ref="A2:F2"/>
    <mergeCell ref="A3:F3"/>
    <mergeCell ref="A4:F4"/>
    <mergeCell ref="A6:F6"/>
  </mergeCells>
  <printOptions horizontalCentered="1"/>
  <pageMargins left="0.7" right="0.7" top="0.75" bottom="0.75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 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daniel.moreira</cp:lastModifiedBy>
  <dcterms:modified xsi:type="dcterms:W3CDTF">2023-10-11T14:05:50Z</dcterms:modified>
</cp:coreProperties>
</file>