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D6C043D-2D82-4DD2-A410-9204B4EEFB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OSTO 2023" sheetId="16" r:id="rId1"/>
  </sheets>
  <definedNames>
    <definedName name="_xlnm.Print_Area" localSheetId="0">'AGOSTO 2023'!$A$1:$X$88</definedName>
  </definedNames>
  <calcPr calcId="181029"/>
  <extLst>
    <ext uri="GoogleSheetsCustomDataVersion2">
      <go:sheetsCustomData xmlns:go="http://customooxmlschemas.google.com/" r:id="rId24" roundtripDataChecksum="+U/hgcqaRVfk3PTUxGDe7efdTZLUheCUxgNfxGAzU2I="/>
    </ext>
  </extLst>
</workbook>
</file>

<file path=xl/calcChain.xml><?xml version="1.0" encoding="utf-8"?>
<calcChain xmlns="http://schemas.openxmlformats.org/spreadsheetml/2006/main">
  <c r="Q83" i="16" l="1"/>
  <c r="P83" i="16"/>
  <c r="O83" i="16"/>
  <c r="N82" i="16"/>
  <c r="R82" i="16" s="1"/>
  <c r="N81" i="16"/>
  <c r="R81" i="16" s="1"/>
  <c r="N80" i="16"/>
  <c r="R80" i="16" s="1"/>
  <c r="X80" i="16" s="1"/>
  <c r="M79" i="16"/>
  <c r="K79" i="16"/>
  <c r="W78" i="16"/>
  <c r="U78" i="16"/>
  <c r="S78" i="16"/>
  <c r="L77" i="16"/>
  <c r="N77" i="16" s="1"/>
  <c r="R77" i="16" s="1"/>
  <c r="L76" i="16"/>
  <c r="N76" i="16" s="1"/>
  <c r="R76" i="16" s="1"/>
  <c r="W75" i="16"/>
  <c r="W74" i="16" s="1"/>
  <c r="U75" i="16"/>
  <c r="U74" i="16" s="1"/>
  <c r="S75" i="16"/>
  <c r="S74" i="16" s="1"/>
  <c r="L75" i="16"/>
  <c r="L74" i="16" s="1"/>
  <c r="K75" i="16"/>
  <c r="K74" i="16" s="1"/>
  <c r="M74" i="16"/>
  <c r="N73" i="16"/>
  <c r="R73" i="16" s="1"/>
  <c r="N72" i="16"/>
  <c r="R72" i="16" s="1"/>
  <c r="N71" i="16"/>
  <c r="R71" i="16" s="1"/>
  <c r="N70" i="16"/>
  <c r="R70" i="16" s="1"/>
  <c r="N69" i="16"/>
  <c r="R69" i="16" s="1"/>
  <c r="X69" i="16" s="1"/>
  <c r="W68" i="16"/>
  <c r="W67" i="16" s="1"/>
  <c r="U68" i="16"/>
  <c r="U67" i="16" s="1"/>
  <c r="S68" i="16"/>
  <c r="S67" i="16" s="1"/>
  <c r="N68" i="16"/>
  <c r="R68" i="16" s="1"/>
  <c r="L67" i="16"/>
  <c r="N67" i="16" s="1"/>
  <c r="R67" i="16" s="1"/>
  <c r="W66" i="16"/>
  <c r="W65" i="16" s="1"/>
  <c r="U66" i="16"/>
  <c r="U65" i="16" s="1"/>
  <c r="S66" i="16"/>
  <c r="S65" i="16" s="1"/>
  <c r="K66" i="16"/>
  <c r="L65" i="16"/>
  <c r="N64" i="16"/>
  <c r="R64" i="16" s="1"/>
  <c r="N63" i="16"/>
  <c r="R63" i="16" s="1"/>
  <c r="N62" i="16"/>
  <c r="R62" i="16" s="1"/>
  <c r="N61" i="16"/>
  <c r="R61" i="16" s="1"/>
  <c r="N60" i="16"/>
  <c r="R60" i="16" s="1"/>
  <c r="X60" i="16" s="1"/>
  <c r="N59" i="16"/>
  <c r="R59" i="16" s="1"/>
  <c r="V59" i="16" s="1"/>
  <c r="N58" i="16"/>
  <c r="R58" i="16" s="1"/>
  <c r="N57" i="16"/>
  <c r="R57" i="16" s="1"/>
  <c r="N56" i="16"/>
  <c r="R56" i="16" s="1"/>
  <c r="N55" i="16"/>
  <c r="R55" i="16" s="1"/>
  <c r="N54" i="16"/>
  <c r="R54" i="16" s="1"/>
  <c r="N53" i="16"/>
  <c r="R53" i="16" s="1"/>
  <c r="T53" i="16" s="1"/>
  <c r="W52" i="16"/>
  <c r="W51" i="16" s="1"/>
  <c r="U52" i="16"/>
  <c r="U51" i="16" s="1"/>
  <c r="S52" i="16"/>
  <c r="S51" i="16" s="1"/>
  <c r="L52" i="16"/>
  <c r="N52" i="16" s="1"/>
  <c r="R52" i="16" s="1"/>
  <c r="L51" i="16"/>
  <c r="N51" i="16" s="1"/>
  <c r="R51" i="16" s="1"/>
  <c r="W50" i="16"/>
  <c r="U50" i="16"/>
  <c r="S50" i="16"/>
  <c r="S49" i="16" s="1"/>
  <c r="M50" i="16"/>
  <c r="L50" i="16"/>
  <c r="K49" i="16"/>
  <c r="N48" i="16"/>
  <c r="R48" i="16" s="1"/>
  <c r="N47" i="16"/>
  <c r="R47" i="16" s="1"/>
  <c r="N46" i="16"/>
  <c r="R46" i="16" s="1"/>
  <c r="N45" i="16"/>
  <c r="R45" i="16" s="1"/>
  <c r="N44" i="16"/>
  <c r="R44" i="16" s="1"/>
  <c r="N43" i="16"/>
  <c r="R43" i="16" s="1"/>
  <c r="N42" i="16"/>
  <c r="R42" i="16" s="1"/>
  <c r="T42" i="16" s="1"/>
  <c r="N41" i="16"/>
  <c r="R41" i="16" s="1"/>
  <c r="V41" i="16" s="1"/>
  <c r="S40" i="16"/>
  <c r="N40" i="16"/>
  <c r="R40" i="16" s="1"/>
  <c r="N39" i="16"/>
  <c r="R39" i="16" s="1"/>
  <c r="N38" i="16"/>
  <c r="R38" i="16" s="1"/>
  <c r="X38" i="16" s="1"/>
  <c r="N37" i="16"/>
  <c r="R37" i="16" s="1"/>
  <c r="X37" i="16" s="1"/>
  <c r="N36" i="16"/>
  <c r="R36" i="16" s="1"/>
  <c r="N35" i="16"/>
  <c r="R35" i="16" s="1"/>
  <c r="N34" i="16"/>
  <c r="R34" i="16" s="1"/>
  <c r="N33" i="16"/>
  <c r="R33" i="16" s="1"/>
  <c r="T33" i="16" s="1"/>
  <c r="P30" i="16"/>
  <c r="O30" i="16"/>
  <c r="O84" i="16" s="1"/>
  <c r="M30" i="16"/>
  <c r="L30" i="16"/>
  <c r="K30" i="16"/>
  <c r="N29" i="16"/>
  <c r="R29" i="16" s="1"/>
  <c r="N28" i="16"/>
  <c r="R28" i="16" s="1"/>
  <c r="T28" i="16" s="1"/>
  <c r="N27" i="16"/>
  <c r="R27" i="16" s="1"/>
  <c r="W26" i="16"/>
  <c r="U26" i="16"/>
  <c r="S26" i="16"/>
  <c r="N26" i="16"/>
  <c r="R26" i="16" s="1"/>
  <c r="Q25" i="16"/>
  <c r="Q30" i="16" s="1"/>
  <c r="K25" i="16"/>
  <c r="N25" i="16" s="1"/>
  <c r="R25" i="16" s="1"/>
  <c r="N24" i="16"/>
  <c r="R24" i="16" s="1"/>
  <c r="N23" i="16"/>
  <c r="R23" i="16" s="1"/>
  <c r="N22" i="16"/>
  <c r="R22" i="16" s="1"/>
  <c r="V22" i="16" s="1"/>
  <c r="N21" i="16"/>
  <c r="R21" i="16" s="1"/>
  <c r="N20" i="16"/>
  <c r="R20" i="16" s="1"/>
  <c r="N19" i="16"/>
  <c r="R19" i="16" s="1"/>
  <c r="N18" i="16"/>
  <c r="R18" i="16" s="1"/>
  <c r="T18" i="16" s="1"/>
  <c r="N17" i="16"/>
  <c r="R17" i="16" s="1"/>
  <c r="N16" i="16"/>
  <c r="R16" i="16" s="1"/>
  <c r="N15" i="16"/>
  <c r="N14" i="16"/>
  <c r="R14" i="16" s="1"/>
  <c r="R15" i="16" l="1"/>
  <c r="R30" i="16" s="1"/>
  <c r="N75" i="16"/>
  <c r="R75" i="16" s="1"/>
  <c r="L49" i="16"/>
  <c r="M49" i="16"/>
  <c r="T69" i="16"/>
  <c r="T26" i="16"/>
  <c r="W49" i="16"/>
  <c r="W83" i="16" s="1"/>
  <c r="V69" i="16"/>
  <c r="U25" i="16"/>
  <c r="V25" i="16" s="1"/>
  <c r="T29" i="16"/>
  <c r="X29" i="16"/>
  <c r="V29" i="16"/>
  <c r="T68" i="16"/>
  <c r="X68" i="16"/>
  <c r="V68" i="16"/>
  <c r="X23" i="16"/>
  <c r="V23" i="16"/>
  <c r="T23" i="16"/>
  <c r="T16" i="16"/>
  <c r="X16" i="16"/>
  <c r="V16" i="16"/>
  <c r="V43" i="16"/>
  <c r="T43" i="16"/>
  <c r="X43" i="16"/>
  <c r="T34" i="16"/>
  <c r="X34" i="16"/>
  <c r="V34" i="16"/>
  <c r="X56" i="16"/>
  <c r="V56" i="16"/>
  <c r="T56" i="16"/>
  <c r="X35" i="16"/>
  <c r="V35" i="16"/>
  <c r="V61" i="16"/>
  <c r="X61" i="16"/>
  <c r="T61" i="16"/>
  <c r="T19" i="16"/>
  <c r="X19" i="16"/>
  <c r="V19" i="16"/>
  <c r="X46" i="16"/>
  <c r="V46" i="16"/>
  <c r="T46" i="16"/>
  <c r="V48" i="16"/>
  <c r="X48" i="16"/>
  <c r="T36" i="16"/>
  <c r="X36" i="16"/>
  <c r="V36" i="16"/>
  <c r="T37" i="16"/>
  <c r="V18" i="16"/>
  <c r="V60" i="16"/>
  <c r="V37" i="16"/>
  <c r="S25" i="16"/>
  <c r="P84" i="16"/>
  <c r="X18" i="16"/>
  <c r="V26" i="16"/>
  <c r="X44" i="16"/>
  <c r="V44" i="16"/>
  <c r="T44" i="16"/>
  <c r="V17" i="16"/>
  <c r="X17" i="16"/>
  <c r="T17" i="16"/>
  <c r="X40" i="16"/>
  <c r="V40" i="16"/>
  <c r="T40" i="16"/>
  <c r="X54" i="16"/>
  <c r="V54" i="16"/>
  <c r="T54" i="16"/>
  <c r="X72" i="16"/>
  <c r="T72" i="16"/>
  <c r="V72" i="16"/>
  <c r="T76" i="16"/>
  <c r="V76" i="16"/>
  <c r="X76" i="16"/>
  <c r="V73" i="16"/>
  <c r="T73" i="16"/>
  <c r="X73" i="16"/>
  <c r="X14" i="16"/>
  <c r="T14" i="16"/>
  <c r="V14" i="16"/>
  <c r="X67" i="16"/>
  <c r="V67" i="16"/>
  <c r="T67" i="16"/>
  <c r="T22" i="16"/>
  <c r="X22" i="16"/>
  <c r="T35" i="16"/>
  <c r="V38" i="16"/>
  <c r="T38" i="16"/>
  <c r="V71" i="16"/>
  <c r="T71" i="16"/>
  <c r="X71" i="16"/>
  <c r="X57" i="16"/>
  <c r="V57" i="16"/>
  <c r="T57" i="16"/>
  <c r="X47" i="16"/>
  <c r="V47" i="16"/>
  <c r="T47" i="16"/>
  <c r="M78" i="16"/>
  <c r="X75" i="16"/>
  <c r="V75" i="16"/>
  <c r="T75" i="16"/>
  <c r="W25" i="16"/>
  <c r="V51" i="16"/>
  <c r="T51" i="16"/>
  <c r="X24" i="16"/>
  <c r="T24" i="16"/>
  <c r="X26" i="16"/>
  <c r="V62" i="16"/>
  <c r="X62" i="16"/>
  <c r="V77" i="16"/>
  <c r="X77" i="16"/>
  <c r="V24" i="16"/>
  <c r="X41" i="16"/>
  <c r="T41" i="16"/>
  <c r="X51" i="16"/>
  <c r="T62" i="16"/>
  <c r="T77" i="16"/>
  <c r="X81" i="16"/>
  <c r="V81" i="16"/>
  <c r="T81" i="16"/>
  <c r="X20" i="16"/>
  <c r="V20" i="16"/>
  <c r="X27" i="16"/>
  <c r="V27" i="16"/>
  <c r="T27" i="16"/>
  <c r="T20" i="16"/>
  <c r="T55" i="16"/>
  <c r="X55" i="16"/>
  <c r="V55" i="16"/>
  <c r="X59" i="16"/>
  <c r="T59" i="16"/>
  <c r="X64" i="16"/>
  <c r="V64" i="16"/>
  <c r="T64" i="16"/>
  <c r="N30" i="16"/>
  <c r="X21" i="16"/>
  <c r="V21" i="16"/>
  <c r="T21" i="16"/>
  <c r="X39" i="16"/>
  <c r="V39" i="16"/>
  <c r="T39" i="16"/>
  <c r="X52" i="16"/>
  <c r="V52" i="16"/>
  <c r="T80" i="16"/>
  <c r="V80" i="16"/>
  <c r="S83" i="16"/>
  <c r="T52" i="16"/>
  <c r="K65" i="16"/>
  <c r="N65" i="16" s="1"/>
  <c r="R65" i="16" s="1"/>
  <c r="N66" i="16"/>
  <c r="R66" i="16" s="1"/>
  <c r="N49" i="16"/>
  <c r="R49" i="16" s="1"/>
  <c r="U49" i="16"/>
  <c r="U83" i="16" s="1"/>
  <c r="V45" i="16"/>
  <c r="T45" i="16"/>
  <c r="X45" i="16"/>
  <c r="L83" i="16"/>
  <c r="L84" i="16" s="1"/>
  <c r="T63" i="16"/>
  <c r="V63" i="16"/>
  <c r="X53" i="16"/>
  <c r="V53" i="16"/>
  <c r="T60" i="16"/>
  <c r="X63" i="16"/>
  <c r="X70" i="16"/>
  <c r="V70" i="16"/>
  <c r="X33" i="16"/>
  <c r="V33" i="16"/>
  <c r="T70" i="16"/>
  <c r="T15" i="16"/>
  <c r="V58" i="16"/>
  <c r="T58" i="16"/>
  <c r="X82" i="16"/>
  <c r="T82" i="16"/>
  <c r="V15" i="16"/>
  <c r="X28" i="16"/>
  <c r="V28" i="16"/>
  <c r="V42" i="16"/>
  <c r="T48" i="16"/>
  <c r="X58" i="16"/>
  <c r="V82" i="16"/>
  <c r="X42" i="16"/>
  <c r="N50" i="16"/>
  <c r="R50" i="16" s="1"/>
  <c r="N79" i="16"/>
  <c r="R79" i="16" s="1"/>
  <c r="N74" i="16"/>
  <c r="R74" i="16" s="1"/>
  <c r="Q84" i="16"/>
  <c r="X15" i="16" l="1"/>
  <c r="S30" i="16"/>
  <c r="T25" i="16"/>
  <c r="X25" i="16"/>
  <c r="U30" i="16"/>
  <c r="U84" i="16" s="1"/>
  <c r="N78" i="16"/>
  <c r="R78" i="16" s="1"/>
  <c r="R83" i="16" s="1"/>
  <c r="V66" i="16"/>
  <c r="X66" i="16"/>
  <c r="T66" i="16"/>
  <c r="S84" i="16"/>
  <c r="T65" i="16"/>
  <c r="V65" i="16"/>
  <c r="X65" i="16"/>
  <c r="V74" i="16"/>
  <c r="T74" i="16"/>
  <c r="X74" i="16"/>
  <c r="X79" i="16"/>
  <c r="T79" i="16"/>
  <c r="V79" i="16"/>
  <c r="M83" i="16"/>
  <c r="M84" i="16" s="1"/>
  <c r="K83" i="16"/>
  <c r="K84" i="16" s="1"/>
  <c r="V30" i="16"/>
  <c r="T30" i="16"/>
  <c r="X30" i="16"/>
  <c r="V50" i="16"/>
  <c r="X50" i="16"/>
  <c r="T50" i="16"/>
  <c r="T49" i="16"/>
  <c r="X49" i="16"/>
  <c r="V49" i="16"/>
  <c r="W30" i="16"/>
  <c r="W84" i="16" s="1"/>
  <c r="V83" i="16" l="1"/>
  <c r="T83" i="16"/>
  <c r="X83" i="16"/>
  <c r="R84" i="16"/>
  <c r="N83" i="16"/>
  <c r="N84" i="16" s="1"/>
  <c r="V78" i="16"/>
  <c r="T78" i="16"/>
  <c r="X78" i="16"/>
  <c r="T84" i="16" l="1"/>
  <c r="X84" i="16"/>
  <c r="V84" i="16"/>
</calcChain>
</file>

<file path=xl/sharedStrings.xml><?xml version="1.0" encoding="utf-8"?>
<sst xmlns="http://schemas.openxmlformats.org/spreadsheetml/2006/main" count="654" uniqueCount="144">
  <si>
    <t>ANEXO II</t>
  </si>
  <si>
    <t>Sigla: TJAM</t>
  </si>
  <si>
    <t>Nome do Órgão: TRIBUNAL DE JUSTIÇA DO AMAZONAS</t>
  </si>
  <si>
    <t>Responsável pela Informação: SECRETÁRIO DE ORÇAMENTO E FINANÇAS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</si>
  <si>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</si>
  <si>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</si>
  <si>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</si>
  <si>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</si>
  <si>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</si>
  <si>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</si>
  <si>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</si>
  <si>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</si>
  <si>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</si>
  <si>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</si>
  <si>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</si>
  <si>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</si>
  <si>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</si>
  <si>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</si>
  <si>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</si>
  <si>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</si>
  <si>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</si>
  <si>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</si>
  <si>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</si>
  <si>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</si>
  <si>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</si>
  <si>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</si>
  <si>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</si>
  <si>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</si>
  <si>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</si>
  <si>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</si>
  <si>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</si>
  <si>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</si>
  <si>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</si>
  <si>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</si>
  <si>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</si>
  <si>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</si>
  <si>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</si>
  <si>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</si>
  <si>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</si>
  <si>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</si>
  <si>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</si>
  <si>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</si>
  <si>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</si>
  <si>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</si>
  <si>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</si>
  <si>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</si>
  <si>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</si>
  <si>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</si>
  <si>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</si>
  <si>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Julgamento de Causas na Justiça Estadual do 1° Grau</t>
  </si>
  <si>
    <t>1</t>
  </si>
  <si>
    <t>100</t>
  </si>
  <si>
    <t>3290/2561.0001</t>
  </si>
  <si>
    <t>Benefícios aos Servidores do 1° Grau</t>
  </si>
  <si>
    <t>3290/2563.0001</t>
  </si>
  <si>
    <t>Remuneração de Pessoal Ativo e Encargos Sociais do 1° Grau</t>
  </si>
  <si>
    <t>3291/2347.0001</t>
  </si>
  <si>
    <t>Operacionalização da Escola Superior da Magistratura</t>
  </si>
  <si>
    <t>Recursos Ordinários - Orçamento Corrente</t>
  </si>
  <si>
    <t>3291/2564.0001</t>
  </si>
  <si>
    <t>Prestação Jurisdicional do 2° Grau e Gestão Administrativa na Justiça Estadual</t>
  </si>
  <si>
    <t>Benefícios aos Servidores do 2° Grau</t>
  </si>
  <si>
    <t>3291/2566.0001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</si>
  <si>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</si>
  <si>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</si>
  <si>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</si>
  <si>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</si>
  <si>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02.122</t>
  </si>
  <si>
    <t>3287/2516.0001</t>
  </si>
  <si>
    <t>Manutenção da Gestão da Fundação Amazonprev</t>
  </si>
  <si>
    <t>02.128</t>
  </si>
  <si>
    <t>3291/2218.0001</t>
  </si>
  <si>
    <t>Formação e aperfeiçoamento dos Servidores</t>
  </si>
  <si>
    <t>02.272</t>
  </si>
  <si>
    <t>0002.0001.0001</t>
  </si>
  <si>
    <t>Encargos com Pessoal Inativo e Pensionistas</t>
  </si>
  <si>
    <t>300</t>
  </si>
  <si>
    <t>28.846</t>
  </si>
  <si>
    <t>0003.0023.0001</t>
  </si>
  <si>
    <t>Cumprimento de Sentenças Judiciais Transitadas em julgado</t>
  </si>
  <si>
    <t>Total l</t>
  </si>
  <si>
    <t>4703</t>
  </si>
  <si>
    <t>Fundo de Modernização e Reaparelhamento do Poder Judiciário Estadual</t>
  </si>
  <si>
    <t>3290/1475.0001</t>
  </si>
  <si>
    <t>Prestação Jurisdicional do 1° Grau na Justiça Estadual</t>
  </si>
  <si>
    <t>Reforma das Unidades Jurisdicionais do 1º Grau</t>
  </si>
  <si>
    <t>201</t>
  </si>
  <si>
    <t>3290/1475.0002</t>
  </si>
  <si>
    <t>401</t>
  </si>
  <si>
    <t>3290/1475.0003</t>
  </si>
  <si>
    <t>3290/1475.0010</t>
  </si>
  <si>
    <t>3290/1475.0011</t>
  </si>
  <si>
    <t>3290/1476.0001</t>
  </si>
  <si>
    <t>Construção de Unidades Jurisdicionais do 1. Grau.</t>
  </si>
  <si>
    <t>3290/1477.0001</t>
  </si>
  <si>
    <t>Implantação do Programa de Segurança no 1° Grau</t>
  </si>
  <si>
    <t>Julgamento de Causas na Justiça Estadual do 1º Grau</t>
  </si>
  <si>
    <t>Benefícios aos Servidores do 1. Grau</t>
  </si>
  <si>
    <t>3291/1478.0001</t>
  </si>
  <si>
    <t>Construção de Unidades Jurisdicionais do 2. Grau.</t>
  </si>
  <si>
    <t>3291/1479.0001</t>
  </si>
  <si>
    <t>Implantação do Programa de Segurança no 2° Grau</t>
  </si>
  <si>
    <t>3291/1480.0011</t>
  </si>
  <si>
    <t>Reforma das Unidades Jurisdicionais do 2º Grau</t>
  </si>
  <si>
    <t>3291/1480.0001</t>
  </si>
  <si>
    <t>3291/2565.0001</t>
  </si>
  <si>
    <t>Julgamento de Causas na Justiça Estadual do 2º Grau</t>
  </si>
  <si>
    <t>3291/2581.0001</t>
  </si>
  <si>
    <t>Operacionalização da Corregedoria Geral de Justiça</t>
  </si>
  <si>
    <t>02.126</t>
  </si>
  <si>
    <t>3290/2627.0001</t>
  </si>
  <si>
    <t>Ampliação e Manutenção da Estrutura da Tecnologia da Informação no 1° Grau do Poder Judiciário</t>
  </si>
  <si>
    <t>3291/2628.0001</t>
  </si>
  <si>
    <t>Ampliação e Manutenção da Estrutura da Tecnologia da Informação no 2° Grau do Poder Judiciário</t>
  </si>
  <si>
    <t>Formação e Aperfeiçoamento dos servidores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</si>
  <si>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</si>
  <si>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</si>
  <si>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</si>
  <si>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</si>
  <si>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</si>
  <si>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>NELIA CAMINHA JORGE</t>
  </si>
  <si>
    <t>1.500.100.0.0000.0000</t>
  </si>
  <si>
    <t>Julgamento de Causas na Justiça Estadual do 2° Grau</t>
  </si>
  <si>
    <t>1.759.201.0.0000.0000</t>
  </si>
  <si>
    <t>3290/1476.0010</t>
  </si>
  <si>
    <t>3290/1476.0011</t>
  </si>
  <si>
    <t>1.759.285.0.0000.0000</t>
  </si>
  <si>
    <t>3291/1478.0011</t>
  </si>
  <si>
    <t>Recursos não Vinculados de Impostos</t>
  </si>
  <si>
    <t>Remuneração de Pessoal Ativo e Encargos Sociais do 2° Grau</t>
  </si>
  <si>
    <t>Previdência de Inativos e Pensionistas do Estado</t>
  </si>
  <si>
    <t>2</t>
  </si>
  <si>
    <t>Operações Especiais: Cumprimento de Senteças Judiciais</t>
  </si>
  <si>
    <t>Recursos Vinculados a Fundos - Diretamente Arrecadados</t>
  </si>
  <si>
    <t>3290/1475.0005</t>
  </si>
  <si>
    <t>2.759.201.0.0000.0000</t>
  </si>
  <si>
    <t>Recursos Vinculados a Fundos - Outras Fontes</t>
  </si>
  <si>
    <t>2.759.285.0.0000.0000</t>
  </si>
  <si>
    <t>3291.2581.0001</t>
  </si>
  <si>
    <t xml:space="preserve">  </t>
  </si>
  <si>
    <t>3290.1476.0011</t>
  </si>
  <si>
    <t>Mês de Referência: 08/2023</t>
  </si>
  <si>
    <t>Data da Publicação: 19/09/2023</t>
  </si>
  <si>
    <t>3290/1476.0003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</si>
</sst>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9" x14ac:knownFonts="1">
    <font>
      <sz val="11"/>
      <color rgb="FF000000"/>
      <name val="Arial"/>
      <scheme val="minor"/>
    </font>
    <font>
      <sz val="9"/>
      <color rgb="FF000000"/>
      <name val="Arial"/>
    </font>
    <font>
      <sz val="11"/>
      <name val="Arial"/>
    </font>
    <font>
      <sz val="7"/>
      <color rgb="FF000000"/>
      <name val="Arial"/>
    </font>
    <font>
      <sz val="11"/>
      <color rgb="FF000000"/>
      <name val="Arial"/>
    </font>
    <font>
      <sz val="7"/>
      <color rgb="FFFF0000"/>
      <name val="Arial"/>
    </font>
    <font>
      <b/>
      <sz val="7"/>
      <color rgb="FF000000"/>
      <name val="Arial"/>
    </font>
    <font>
      <sz val="12"/>
      <color rgb="FF000000"/>
      <name val="Arial"/>
    </font>
    <font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CFE7E5"/>
        <bgColor rgb="FFCFE7E5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DBE5F1"/>
        <bgColor rgb="FFDBE5F1"/>
      </patternFill>
    </fill>
    <fill>
      <patternFill patternType="solid">
        <fgColor rgb="FF00DCFF"/>
        <bgColor rgb="FF00DCFF"/>
      </patternFill>
    </fill>
  </fills>
  <borders count="22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4" fillId="0" borderId="0" xfId="0" applyFont="1"/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right" vertical="center"/>
    </xf>
    <xf numFmtId="4" fontId="6" fillId="2" borderId="11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164" fontId="6" fillId="2" borderId="11" xfId="0" applyNumberFormat="1" applyFont="1" applyFill="1" applyBorder="1" applyAlignment="1">
      <alignment horizontal="center" vertical="center"/>
    </xf>
    <xf numFmtId="166" fontId="3" fillId="4" borderId="11" xfId="0" applyNumberFormat="1" applyFont="1" applyFill="1" applyBorder="1" applyAlignment="1">
      <alignment horizontal="right" vertical="center"/>
    </xf>
    <xf numFmtId="166" fontId="4" fillId="0" borderId="0" xfId="0" applyNumberFormat="1" applyFont="1"/>
    <xf numFmtId="0" fontId="3" fillId="5" borderId="11" xfId="0" applyFont="1" applyFill="1" applyBorder="1" applyAlignment="1">
      <alignment horizontal="center" vertical="center" wrapText="1"/>
    </xf>
    <xf numFmtId="166" fontId="3" fillId="5" borderId="11" xfId="0" applyNumberFormat="1" applyFont="1" applyFill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 wrapText="1"/>
    </xf>
    <xf numFmtId="167" fontId="3" fillId="0" borderId="11" xfId="0" applyNumberFormat="1" applyFont="1" applyBorder="1" applyAlignment="1">
      <alignment horizontal="right" vertical="center"/>
    </xf>
    <xf numFmtId="166" fontId="3" fillId="0" borderId="11" xfId="0" applyNumberFormat="1" applyFont="1" applyBorder="1" applyAlignment="1">
      <alignment horizontal="right" vertical="center"/>
    </xf>
    <xf numFmtId="4" fontId="6" fillId="0" borderId="11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 wrapText="1"/>
    </xf>
    <xf numFmtId="164" fontId="6" fillId="6" borderId="11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right" vertical="center"/>
    </xf>
    <xf numFmtId="166" fontId="3" fillId="7" borderId="11" xfId="0" applyNumberFormat="1" applyFont="1" applyFill="1" applyBorder="1" applyAlignment="1">
      <alignment horizontal="right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166" fontId="3" fillId="2" borderId="13" xfId="0" applyNumberFormat="1" applyFont="1" applyFill="1" applyBorder="1" applyAlignment="1">
      <alignment horizontal="right" vertical="center"/>
    </xf>
    <xf numFmtId="4" fontId="6" fillId="2" borderId="13" xfId="0" applyNumberFormat="1" applyFont="1" applyFill="1" applyBorder="1" applyAlignment="1">
      <alignment horizontal="right" vertical="center"/>
    </xf>
    <xf numFmtId="167" fontId="3" fillId="0" borderId="12" xfId="0" applyNumberFormat="1" applyFont="1" applyBorder="1" applyAlignment="1">
      <alignment horizontal="right" vertical="center"/>
    </xf>
    <xf numFmtId="166" fontId="3" fillId="8" borderId="11" xfId="0" applyNumberFormat="1" applyFont="1" applyFill="1" applyBorder="1" applyAlignment="1">
      <alignment horizontal="right" vertical="center"/>
    </xf>
    <xf numFmtId="4" fontId="6" fillId="9" borderId="11" xfId="0" applyNumberFormat="1" applyFont="1" applyFill="1" applyBorder="1" applyAlignment="1">
      <alignment horizontal="center" vertical="center" wrapText="1"/>
    </xf>
    <xf numFmtId="164" fontId="6" fillId="9" borderId="11" xfId="0" applyNumberFormat="1" applyFont="1" applyFill="1" applyBorder="1" applyAlignment="1">
      <alignment horizontal="center" vertical="center"/>
    </xf>
    <xf numFmtId="0" fontId="8" fillId="2" borderId="14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/>
    <xf numFmtId="0" fontId="3" fillId="2" borderId="4" xfId="0" applyFont="1" applyFill="1" applyBorder="1"/>
    <xf numFmtId="0" fontId="5" fillId="2" borderId="15" xfId="0" applyFont="1" applyFill="1" applyBorder="1"/>
    <xf numFmtId="0" fontId="4" fillId="0" borderId="0" xfId="0" applyFont="1" applyAlignment="1">
      <alignment horizontal="center" vertical="center"/>
    </xf>
    <xf numFmtId="4" fontId="3" fillId="2" borderId="4" xfId="0" applyNumberFormat="1" applyFont="1" applyFill="1" applyBorder="1"/>
    <xf numFmtId="166" fontId="3" fillId="2" borderId="4" xfId="0" applyNumberFormat="1" applyFont="1" applyFill="1" applyBorder="1"/>
    <xf numFmtId="4" fontId="4" fillId="0" borderId="0" xfId="0" applyNumberFormat="1" applyFont="1"/>
    <xf numFmtId="0" fontId="5" fillId="2" borderId="4" xfId="0" applyFont="1" applyFill="1" applyBorder="1"/>
    <xf numFmtId="0" fontId="3" fillId="2" borderId="21" xfId="0" applyFont="1" applyFill="1" applyBorder="1" applyAlignment="1">
      <alignment horizontal="center"/>
    </xf>
    <xf numFmtId="164" fontId="3" fillId="2" borderId="2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2" borderId="11" xfId="0" quotePrefix="1" applyFont="1" applyFill="1" applyBorder="1" applyAlignment="1">
      <alignment horizontal="right" vertical="center"/>
    </xf>
    <xf numFmtId="0" fontId="3" fillId="8" borderId="13" xfId="0" applyFont="1" applyFill="1" applyBorder="1" applyAlignment="1">
      <alignment horizontal="center" vertical="center" wrapText="1"/>
    </xf>
    <xf numFmtId="166" fontId="3" fillId="8" borderId="13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6" fillId="0" borderId="0" xfId="0" applyFont="1" applyAlignment="1">
      <alignment horizontal="center"/>
    </xf>
    <xf numFmtId="0" fontId="0" fillId="0" borderId="0" xfId="0"/>
    <xf numFmtId="0" fontId="6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6" fillId="0" borderId="1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4" fillId="9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4" fillId="2" borderId="5" xfId="0" applyFont="1" applyFill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12" xfId="0" applyFont="1" applyBorder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1" Type="http://schemas.openxmlformats.org/officeDocument/2006/relationships/worksheet" Target="worksheets/sheet1.xml"/><Relationship Id="rId24" Type="http://customschemas.google.com/relationships/workbookmetadata" Target="metadata"/><Relationship Id="rId28" Type="http://schemas.openxmlformats.org/officeDocument/2006/relationships/calcChain" Target="calcChain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  <pageSetUpPr fitToPage="1"/>
  </sheetPr>
  <dimension ref="A1:AA972"/>
  <sheetViews>
    <sheetView tabSelected="1" topLeftCell="A65" workbookViewId="0">
      <selection activeCell="A88" sqref="A1:X88"/>
    </sheetView>
  </sheetViews>
  <sheetFormatPr defaultColWidth="12.625" defaultRowHeight="15" customHeight="1" x14ac:dyDescent="0.2"/>
  <cols>
    <col min="1" max="1" width="9.125" customWidth="1"/>
    <col min="2" max="2" width="11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8" width="13" customWidth="1"/>
    <col min="9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6" width="9.125" customWidth="1"/>
    <col min="17" max="17" width="10.375" customWidth="1"/>
    <col min="18" max="18" width="12.75" customWidth="1"/>
    <col min="19" max="19" width="11.75" customWidth="1"/>
    <col min="20" max="20" width="11.625" bestFit="1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2.75" customWidth="1"/>
    <col min="26" max="27" width="9.125" customWidth="1"/>
  </cols>
  <sheetData>
    <row r="1" spans="1:27" ht="14.25" customHeight="1" x14ac:dyDescent="0.2">
      <c r="A1" s="69" t="s">
        <v>0</v>
      </c>
      <c r="B1" s="70"/>
      <c r="C1" s="70"/>
      <c r="D1" s="70"/>
      <c r="E1" s="70"/>
      <c r="F1" s="71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 x14ac:dyDescent="0.2">
      <c r="A2" s="72" t="s">
        <v>1</v>
      </c>
      <c r="B2" s="73"/>
      <c r="C2" s="73"/>
      <c r="D2" s="73"/>
      <c r="E2" s="73"/>
      <c r="F2" s="74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 x14ac:dyDescent="0.2">
      <c r="A3" s="72" t="s">
        <v>2</v>
      </c>
      <c r="B3" s="73"/>
      <c r="C3" s="73"/>
      <c r="D3" s="73"/>
      <c r="E3" s="73"/>
      <c r="F3" s="74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 x14ac:dyDescent="0.2">
      <c r="A4" s="69" t="s">
        <v>120</v>
      </c>
      <c r="B4" s="70"/>
      <c r="C4" s="70"/>
      <c r="D4" s="70"/>
      <c r="E4" s="70"/>
      <c r="F4" s="71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 x14ac:dyDescent="0.2">
      <c r="A5" s="6" t="s">
        <v>3</v>
      </c>
      <c r="B5" s="6"/>
      <c r="C5" s="6"/>
      <c r="D5" s="6"/>
      <c r="E5" s="6"/>
      <c r="F5" s="6"/>
      <c r="G5" s="7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 x14ac:dyDescent="0.2">
      <c r="A6" s="69" t="s">
        <v>141</v>
      </c>
      <c r="B6" s="70"/>
      <c r="C6" s="70"/>
      <c r="D6" s="70"/>
      <c r="E6" s="70"/>
      <c r="F6" s="71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 x14ac:dyDescent="0.2">
      <c r="A7" s="69" t="s">
        <v>142</v>
      </c>
      <c r="B7" s="70"/>
      <c r="C7" s="70"/>
      <c r="D7" s="70"/>
      <c r="E7" s="70"/>
      <c r="F7" s="71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 x14ac:dyDescent="0.2">
      <c r="A8" s="91"/>
      <c r="B8" s="76"/>
      <c r="C8" s="76"/>
      <c r="D8" s="76"/>
      <c r="E8" s="76"/>
      <c r="F8" s="76"/>
      <c r="G8" s="1"/>
      <c r="H8" s="2"/>
      <c r="I8" s="2"/>
      <c r="J8" s="62"/>
      <c r="K8" s="1"/>
      <c r="L8" s="1"/>
      <c r="M8" s="1"/>
      <c r="N8" s="1"/>
      <c r="O8" s="1"/>
      <c r="P8" s="1"/>
      <c r="Q8" s="1"/>
      <c r="R8" s="1"/>
      <c r="S8" s="1"/>
      <c r="T8" s="1"/>
      <c r="U8" s="63"/>
      <c r="V8" s="5"/>
      <c r="W8" s="5"/>
      <c r="X8" s="5"/>
      <c r="Y8" s="5"/>
      <c r="Z8" s="5"/>
      <c r="AA8" s="5"/>
    </row>
    <row r="9" spans="1:27" ht="14.25" customHeight="1" x14ac:dyDescent="0.2">
      <c r="A9" s="75" t="s">
        <v>4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5"/>
      <c r="Z9" s="5"/>
      <c r="AA9" s="5"/>
    </row>
    <row r="10" spans="1:27" ht="14.25" customHeight="1" x14ac:dyDescent="0.2">
      <c r="A10" s="1"/>
      <c r="B10" s="1"/>
      <c r="C10" s="1"/>
      <c r="D10" s="1"/>
      <c r="E10" s="1"/>
      <c r="F10" s="1"/>
      <c r="G10" s="1"/>
      <c r="H10" s="2"/>
      <c r="I10" s="2"/>
      <c r="J10" s="60"/>
      <c r="K10" s="1"/>
      <c r="L10" s="1"/>
      <c r="M10" s="1"/>
      <c r="N10" s="1"/>
      <c r="O10" s="1"/>
      <c r="P10" s="1"/>
      <c r="Q10" s="1"/>
      <c r="R10" s="1"/>
      <c r="S10" s="1"/>
      <c r="T10" s="1"/>
      <c r="U10" s="61"/>
      <c r="V10" s="1"/>
      <c r="W10" s="8"/>
      <c r="X10" s="1"/>
      <c r="Y10" s="5"/>
      <c r="Z10" s="5"/>
      <c r="AA10" s="5"/>
    </row>
    <row r="11" spans="1:27" ht="14.25" customHeight="1" x14ac:dyDescent="0.2">
      <c r="A11" s="79" t="s">
        <v>5</v>
      </c>
      <c r="B11" s="70"/>
      <c r="C11" s="70"/>
      <c r="D11" s="70"/>
      <c r="E11" s="70"/>
      <c r="F11" s="70"/>
      <c r="G11" s="70"/>
      <c r="H11" s="70"/>
      <c r="I11" s="70"/>
      <c r="J11" s="71"/>
      <c r="K11" s="77" t="s">
        <v>6</v>
      </c>
      <c r="L11" s="79" t="s">
        <v>7</v>
      </c>
      <c r="M11" s="71"/>
      <c r="N11" s="77" t="s">
        <v>8</v>
      </c>
      <c r="O11" s="77" t="s">
        <v>9</v>
      </c>
      <c r="P11" s="79" t="s">
        <v>10</v>
      </c>
      <c r="Q11" s="71"/>
      <c r="R11" s="77" t="s">
        <v>11</v>
      </c>
      <c r="S11" s="79" t="s">
        <v>12</v>
      </c>
      <c r="T11" s="70"/>
      <c r="U11" s="70"/>
      <c r="V11" s="70"/>
      <c r="W11" s="70"/>
      <c r="X11" s="71"/>
      <c r="Y11" s="5"/>
      <c r="Z11" s="5"/>
      <c r="AA11" s="5"/>
    </row>
    <row r="12" spans="1:27" ht="14.25" customHeight="1" x14ac:dyDescent="0.2">
      <c r="A12" s="79" t="s">
        <v>13</v>
      </c>
      <c r="B12" s="71"/>
      <c r="C12" s="77" t="s">
        <v>14</v>
      </c>
      <c r="D12" s="77" t="s">
        <v>15</v>
      </c>
      <c r="E12" s="79" t="s">
        <v>16</v>
      </c>
      <c r="F12" s="71"/>
      <c r="G12" s="77" t="s">
        <v>17</v>
      </c>
      <c r="H12" s="79" t="s">
        <v>18</v>
      </c>
      <c r="I12" s="71"/>
      <c r="J12" s="80" t="s">
        <v>19</v>
      </c>
      <c r="K12" s="78"/>
      <c r="L12" s="9" t="s">
        <v>20</v>
      </c>
      <c r="M12" s="9" t="s">
        <v>21</v>
      </c>
      <c r="N12" s="78"/>
      <c r="O12" s="78"/>
      <c r="P12" s="10" t="s">
        <v>22</v>
      </c>
      <c r="Q12" s="10" t="s">
        <v>23</v>
      </c>
      <c r="R12" s="78"/>
      <c r="S12" s="11" t="s">
        <v>24</v>
      </c>
      <c r="T12" s="12" t="s">
        <v>25</v>
      </c>
      <c r="U12" s="11" t="s">
        <v>26</v>
      </c>
      <c r="V12" s="13" t="s">
        <v>25</v>
      </c>
      <c r="W12" s="14" t="s">
        <v>27</v>
      </c>
      <c r="X12" s="13" t="s">
        <v>25</v>
      </c>
      <c r="Y12" s="5"/>
      <c r="Z12" s="5"/>
      <c r="AA12" s="5"/>
    </row>
    <row r="13" spans="1:27" ht="31.5" customHeight="1" x14ac:dyDescent="0.2">
      <c r="A13" s="11" t="s">
        <v>28</v>
      </c>
      <c r="B13" s="11" t="s">
        <v>16</v>
      </c>
      <c r="C13" s="78"/>
      <c r="D13" s="78"/>
      <c r="E13" s="10" t="s">
        <v>29</v>
      </c>
      <c r="F13" s="10" t="s">
        <v>30</v>
      </c>
      <c r="G13" s="78"/>
      <c r="H13" s="10" t="s">
        <v>28</v>
      </c>
      <c r="I13" s="10" t="s">
        <v>16</v>
      </c>
      <c r="J13" s="78"/>
      <c r="K13" s="11" t="s">
        <v>31</v>
      </c>
      <c r="L13" s="10" t="s">
        <v>32</v>
      </c>
      <c r="M13" s="10" t="s">
        <v>33</v>
      </c>
      <c r="N13" s="10" t="s">
        <v>34</v>
      </c>
      <c r="O13" s="10" t="s">
        <v>35</v>
      </c>
      <c r="P13" s="10" t="s">
        <v>36</v>
      </c>
      <c r="Q13" s="10" t="s">
        <v>37</v>
      </c>
      <c r="R13" s="11" t="s">
        <v>38</v>
      </c>
      <c r="S13" s="15" t="s">
        <v>39</v>
      </c>
      <c r="T13" s="16" t="s">
        <v>40</v>
      </c>
      <c r="U13" s="15" t="s">
        <v>41</v>
      </c>
      <c r="V13" s="16" t="s">
        <v>42</v>
      </c>
      <c r="W13" s="14" t="s">
        <v>43</v>
      </c>
      <c r="X13" s="16" t="s">
        <v>44</v>
      </c>
      <c r="Y13" s="5"/>
      <c r="Z13" s="5"/>
      <c r="AA13" s="5"/>
    </row>
    <row r="14" spans="1:27" ht="63" customHeight="1" x14ac:dyDescent="0.2">
      <c r="A14" s="17" t="s">
        <v>45</v>
      </c>
      <c r="B14" s="28" t="s">
        <v>46</v>
      </c>
      <c r="C14" s="28" t="s">
        <v>47</v>
      </c>
      <c r="D14" s="28" t="s">
        <v>48</v>
      </c>
      <c r="E14" s="28" t="s">
        <v>84</v>
      </c>
      <c r="F14" s="28" t="s">
        <v>49</v>
      </c>
      <c r="G14" s="28" t="s">
        <v>50</v>
      </c>
      <c r="H14" s="28" t="s">
        <v>121</v>
      </c>
      <c r="I14" s="28" t="s">
        <v>128</v>
      </c>
      <c r="J14" s="65">
        <v>3</v>
      </c>
      <c r="K14" s="30">
        <v>2000000</v>
      </c>
      <c r="L14" s="20">
        <v>631198.02</v>
      </c>
      <c r="M14" s="20">
        <v>631198.02</v>
      </c>
      <c r="N14" s="21">
        <f t="shared" ref="N14:N29" si="0">K14+L14-M14</f>
        <v>2000000</v>
      </c>
      <c r="O14" s="22"/>
      <c r="P14" s="22"/>
      <c r="Q14" s="22"/>
      <c r="R14" s="21">
        <f t="shared" ref="R14:R29" si="1">N14-O14+P14+Q14</f>
        <v>2000000</v>
      </c>
      <c r="S14" s="20">
        <v>0</v>
      </c>
      <c r="T14" s="23">
        <f t="shared" ref="T14:T30" si="2">IF(R14&gt;0,S14/R14,0)</f>
        <v>0</v>
      </c>
      <c r="U14" s="46">
        <v>0</v>
      </c>
      <c r="V14" s="23">
        <f t="shared" ref="V14:V30" si="3">IF(R14&gt;0,U14/R14,0)</f>
        <v>0</v>
      </c>
      <c r="W14" s="20">
        <v>0</v>
      </c>
      <c r="X14" s="23">
        <f t="shared" ref="X14:X30" si="4">IF(R14&gt;0,W14/R14,0)</f>
        <v>0</v>
      </c>
      <c r="Y14" s="5"/>
      <c r="Z14" s="5"/>
      <c r="AA14" s="5"/>
    </row>
    <row r="15" spans="1:27" ht="63" customHeight="1" x14ac:dyDescent="0.2">
      <c r="A15" s="17" t="s">
        <v>45</v>
      </c>
      <c r="B15" s="28" t="s">
        <v>46</v>
      </c>
      <c r="C15" s="28" t="s">
        <v>47</v>
      </c>
      <c r="D15" s="28" t="s">
        <v>52</v>
      </c>
      <c r="E15" s="28" t="s">
        <v>84</v>
      </c>
      <c r="F15" s="28" t="s">
        <v>53</v>
      </c>
      <c r="G15" s="28" t="s">
        <v>50</v>
      </c>
      <c r="H15" s="28" t="s">
        <v>121</v>
      </c>
      <c r="I15" s="28" t="s">
        <v>128</v>
      </c>
      <c r="J15" s="65">
        <v>3</v>
      </c>
      <c r="K15" s="30">
        <v>76324000</v>
      </c>
      <c r="L15" s="20">
        <v>0</v>
      </c>
      <c r="M15" s="20">
        <v>0</v>
      </c>
      <c r="N15" s="21">
        <f t="shared" si="0"/>
        <v>76324000</v>
      </c>
      <c r="O15" s="66"/>
      <c r="P15" s="22"/>
      <c r="Q15" s="22"/>
      <c r="R15" s="21">
        <f t="shared" si="1"/>
        <v>76324000</v>
      </c>
      <c r="S15" s="20">
        <v>51501630.829999998</v>
      </c>
      <c r="T15" s="23">
        <f t="shared" si="2"/>
        <v>0.67477635907447198</v>
      </c>
      <c r="U15" s="46">
        <v>51501630.829999998</v>
      </c>
      <c r="V15" s="23">
        <f t="shared" si="3"/>
        <v>0.67477635907447198</v>
      </c>
      <c r="W15" s="20">
        <v>51501630.829999998</v>
      </c>
      <c r="X15" s="23">
        <f t="shared" si="4"/>
        <v>0.67477635907447198</v>
      </c>
      <c r="Y15" s="25"/>
      <c r="Z15" s="5"/>
      <c r="AA15" s="5"/>
    </row>
    <row r="16" spans="1:27" ht="63" customHeight="1" x14ac:dyDescent="0.2">
      <c r="A16" s="17" t="s">
        <v>45</v>
      </c>
      <c r="B16" s="28" t="s">
        <v>46</v>
      </c>
      <c r="C16" s="28" t="s">
        <v>47</v>
      </c>
      <c r="D16" s="28" t="s">
        <v>54</v>
      </c>
      <c r="E16" s="28" t="s">
        <v>84</v>
      </c>
      <c r="F16" s="28" t="s">
        <v>55</v>
      </c>
      <c r="G16" s="28" t="s">
        <v>50</v>
      </c>
      <c r="H16" s="28" t="s">
        <v>121</v>
      </c>
      <c r="I16" s="28" t="s">
        <v>128</v>
      </c>
      <c r="J16" s="26">
        <v>1</v>
      </c>
      <c r="K16" s="30">
        <v>461873000</v>
      </c>
      <c r="L16" s="20">
        <v>14133634.43</v>
      </c>
      <c r="M16" s="20">
        <v>14133634.43</v>
      </c>
      <c r="N16" s="21">
        <f t="shared" si="0"/>
        <v>461873000</v>
      </c>
      <c r="O16" s="22"/>
      <c r="P16" s="22"/>
      <c r="Q16" s="22"/>
      <c r="R16" s="21">
        <f t="shared" si="1"/>
        <v>461873000</v>
      </c>
      <c r="S16" s="20">
        <v>295383031.94</v>
      </c>
      <c r="T16" s="23">
        <f t="shared" si="2"/>
        <v>0.63953301435676035</v>
      </c>
      <c r="U16" s="27">
        <v>295381916.01999998</v>
      </c>
      <c r="V16" s="23">
        <f t="shared" si="3"/>
        <v>0.63953059828134573</v>
      </c>
      <c r="W16" s="20">
        <v>286707544.07999998</v>
      </c>
      <c r="X16" s="23">
        <f t="shared" si="4"/>
        <v>0.62074973873770489</v>
      </c>
      <c r="Y16" s="5"/>
      <c r="Z16" s="5"/>
      <c r="AA16" s="5"/>
    </row>
    <row r="17" spans="1:27" ht="63" customHeight="1" x14ac:dyDescent="0.2">
      <c r="A17" s="17" t="s">
        <v>45</v>
      </c>
      <c r="B17" s="28" t="s">
        <v>46</v>
      </c>
      <c r="C17" s="28" t="s">
        <v>47</v>
      </c>
      <c r="D17" s="28" t="s">
        <v>56</v>
      </c>
      <c r="E17" s="28" t="s">
        <v>60</v>
      </c>
      <c r="F17" s="28" t="s">
        <v>57</v>
      </c>
      <c r="G17" s="28" t="s">
        <v>50</v>
      </c>
      <c r="H17" s="28" t="s">
        <v>121</v>
      </c>
      <c r="I17" s="28" t="s">
        <v>128</v>
      </c>
      <c r="J17" s="26">
        <v>1</v>
      </c>
      <c r="K17" s="29">
        <v>120000</v>
      </c>
      <c r="L17" s="30">
        <v>0</v>
      </c>
      <c r="M17" s="30">
        <v>0</v>
      </c>
      <c r="N17" s="31">
        <f t="shared" si="0"/>
        <v>120000</v>
      </c>
      <c r="O17" s="31"/>
      <c r="P17" s="31"/>
      <c r="Q17" s="31"/>
      <c r="R17" s="31">
        <f t="shared" si="1"/>
        <v>120000</v>
      </c>
      <c r="S17" s="32">
        <v>57150</v>
      </c>
      <c r="T17" s="33">
        <f t="shared" si="2"/>
        <v>0.47625000000000001</v>
      </c>
      <c r="U17" s="27">
        <v>57150</v>
      </c>
      <c r="V17" s="33">
        <f t="shared" si="3"/>
        <v>0.47625000000000001</v>
      </c>
      <c r="W17" s="30">
        <v>57150</v>
      </c>
      <c r="X17" s="33">
        <f t="shared" si="4"/>
        <v>0.47625000000000001</v>
      </c>
      <c r="Y17" s="5"/>
      <c r="Z17" s="5"/>
      <c r="AA17" s="5"/>
    </row>
    <row r="18" spans="1:27" ht="63" customHeight="1" x14ac:dyDescent="0.2">
      <c r="A18" s="17" t="s">
        <v>45</v>
      </c>
      <c r="B18" s="28" t="s">
        <v>46</v>
      </c>
      <c r="C18" s="28" t="s">
        <v>47</v>
      </c>
      <c r="D18" s="28" t="s">
        <v>59</v>
      </c>
      <c r="E18" s="28" t="s">
        <v>60</v>
      </c>
      <c r="F18" s="28" t="s">
        <v>61</v>
      </c>
      <c r="G18" s="28" t="s">
        <v>50</v>
      </c>
      <c r="H18" s="28" t="s">
        <v>121</v>
      </c>
      <c r="I18" s="28" t="s">
        <v>128</v>
      </c>
      <c r="J18" s="65">
        <v>3</v>
      </c>
      <c r="K18" s="30">
        <v>21351000</v>
      </c>
      <c r="L18" s="20">
        <v>12000</v>
      </c>
      <c r="M18" s="20">
        <v>12000</v>
      </c>
      <c r="N18" s="21">
        <f t="shared" si="0"/>
        <v>21351000</v>
      </c>
      <c r="O18" s="22"/>
      <c r="P18" s="22"/>
      <c r="Q18" s="22"/>
      <c r="R18" s="21">
        <f t="shared" si="1"/>
        <v>21351000</v>
      </c>
      <c r="S18" s="20">
        <v>14774425.57</v>
      </c>
      <c r="T18" s="23">
        <f t="shared" si="2"/>
        <v>0.69197815418481567</v>
      </c>
      <c r="U18" s="46">
        <v>14774425.57</v>
      </c>
      <c r="V18" s="23">
        <f t="shared" si="3"/>
        <v>0.69197815418481567</v>
      </c>
      <c r="W18" s="20">
        <v>14774425.57</v>
      </c>
      <c r="X18" s="23">
        <f t="shared" si="4"/>
        <v>0.69197815418481567</v>
      </c>
      <c r="Y18" s="5"/>
      <c r="Z18" s="5"/>
      <c r="AA18" s="5"/>
    </row>
    <row r="19" spans="1:27" ht="63" customHeight="1" x14ac:dyDescent="0.2">
      <c r="A19" s="17" t="s">
        <v>45</v>
      </c>
      <c r="B19" s="28" t="s">
        <v>46</v>
      </c>
      <c r="C19" s="28" t="s">
        <v>47</v>
      </c>
      <c r="D19" s="28" t="s">
        <v>105</v>
      </c>
      <c r="E19" s="28" t="s">
        <v>60</v>
      </c>
      <c r="F19" s="28" t="s">
        <v>122</v>
      </c>
      <c r="G19" s="28" t="s">
        <v>50</v>
      </c>
      <c r="H19" s="28" t="s">
        <v>121</v>
      </c>
      <c r="I19" s="28" t="s">
        <v>128</v>
      </c>
      <c r="J19" s="65">
        <v>3</v>
      </c>
      <c r="K19" s="30">
        <v>475000</v>
      </c>
      <c r="L19" s="20">
        <v>0</v>
      </c>
      <c r="M19" s="20">
        <v>0</v>
      </c>
      <c r="N19" s="21">
        <f t="shared" si="0"/>
        <v>475000</v>
      </c>
      <c r="O19" s="22"/>
      <c r="P19" s="22"/>
      <c r="Q19" s="22"/>
      <c r="R19" s="21">
        <f t="shared" si="1"/>
        <v>475000</v>
      </c>
      <c r="S19" s="20">
        <v>0</v>
      </c>
      <c r="T19" s="23">
        <f t="shared" si="2"/>
        <v>0</v>
      </c>
      <c r="U19" s="46">
        <v>0</v>
      </c>
      <c r="V19" s="23">
        <f t="shared" si="3"/>
        <v>0</v>
      </c>
      <c r="W19" s="20">
        <v>0</v>
      </c>
      <c r="X19" s="23">
        <f t="shared" si="4"/>
        <v>0</v>
      </c>
      <c r="Y19" s="5"/>
      <c r="Z19" s="5"/>
      <c r="AA19" s="5"/>
    </row>
    <row r="20" spans="1:27" ht="63" customHeight="1" x14ac:dyDescent="0.2">
      <c r="A20" s="17" t="s">
        <v>45</v>
      </c>
      <c r="B20" s="28" t="s">
        <v>46</v>
      </c>
      <c r="C20" s="28" t="s">
        <v>47</v>
      </c>
      <c r="D20" s="28" t="s">
        <v>62</v>
      </c>
      <c r="E20" s="28" t="s">
        <v>60</v>
      </c>
      <c r="F20" s="28" t="s">
        <v>129</v>
      </c>
      <c r="G20" s="28" t="s">
        <v>50</v>
      </c>
      <c r="H20" s="28" t="s">
        <v>121</v>
      </c>
      <c r="I20" s="28" t="s">
        <v>128</v>
      </c>
      <c r="J20" s="26">
        <v>1</v>
      </c>
      <c r="K20" s="30">
        <v>111000000</v>
      </c>
      <c r="L20" s="20">
        <v>9801000</v>
      </c>
      <c r="M20" s="20">
        <v>9801000</v>
      </c>
      <c r="N20" s="21">
        <f t="shared" si="0"/>
        <v>111000000</v>
      </c>
      <c r="O20" s="22"/>
      <c r="P20" s="22"/>
      <c r="Q20" s="22"/>
      <c r="R20" s="21">
        <f t="shared" si="1"/>
        <v>111000000</v>
      </c>
      <c r="S20" s="20">
        <v>76897643.909999996</v>
      </c>
      <c r="T20" s="23">
        <f t="shared" si="2"/>
        <v>0.69277156675675677</v>
      </c>
      <c r="U20" s="27">
        <v>76897643.909999996</v>
      </c>
      <c r="V20" s="23">
        <f t="shared" si="3"/>
        <v>0.69277156675675677</v>
      </c>
      <c r="W20" s="20">
        <v>74573394.200000003</v>
      </c>
      <c r="X20" s="23">
        <f t="shared" si="4"/>
        <v>0.67183238018018021</v>
      </c>
      <c r="Y20" s="5"/>
      <c r="Z20" s="5"/>
      <c r="AA20" s="5"/>
    </row>
    <row r="21" spans="1:27" ht="63" customHeight="1" x14ac:dyDescent="0.2">
      <c r="A21" s="17" t="s">
        <v>45</v>
      </c>
      <c r="B21" s="28" t="s">
        <v>46</v>
      </c>
      <c r="C21" s="28" t="s">
        <v>47</v>
      </c>
      <c r="D21" s="28" t="s">
        <v>63</v>
      </c>
      <c r="E21" s="28" t="s">
        <v>60</v>
      </c>
      <c r="F21" s="28" t="s">
        <v>64</v>
      </c>
      <c r="G21" s="28" t="s">
        <v>50</v>
      </c>
      <c r="H21" s="28" t="s">
        <v>121</v>
      </c>
      <c r="I21" s="28" t="s">
        <v>128</v>
      </c>
      <c r="J21" s="26">
        <v>1</v>
      </c>
      <c r="K21" s="30">
        <v>131100000</v>
      </c>
      <c r="L21" s="20">
        <v>632588</v>
      </c>
      <c r="M21" s="20">
        <v>632588</v>
      </c>
      <c r="N21" s="21">
        <f t="shared" si="0"/>
        <v>131100000</v>
      </c>
      <c r="O21" s="22"/>
      <c r="P21" s="22"/>
      <c r="Q21" s="22"/>
      <c r="R21" s="21">
        <f t="shared" si="1"/>
        <v>131100000</v>
      </c>
      <c r="S21" s="20">
        <v>95582135.140000001</v>
      </c>
      <c r="T21" s="23">
        <f t="shared" si="2"/>
        <v>0.72907807124332569</v>
      </c>
      <c r="U21" s="27">
        <v>95582135.140000001</v>
      </c>
      <c r="V21" s="23">
        <f t="shared" si="3"/>
        <v>0.72907807124332569</v>
      </c>
      <c r="W21" s="20">
        <v>92876438.900000006</v>
      </c>
      <c r="X21" s="23">
        <f t="shared" si="4"/>
        <v>0.70843965598779557</v>
      </c>
      <c r="Y21" s="5"/>
      <c r="Z21" s="5"/>
      <c r="AA21" s="5"/>
    </row>
    <row r="22" spans="1:27" ht="63" customHeight="1" x14ac:dyDescent="0.2">
      <c r="A22" s="17" t="s">
        <v>45</v>
      </c>
      <c r="B22" s="28" t="s">
        <v>46</v>
      </c>
      <c r="C22" s="28" t="s">
        <v>47</v>
      </c>
      <c r="D22" s="28" t="s">
        <v>65</v>
      </c>
      <c r="E22" s="28" t="s">
        <v>60</v>
      </c>
      <c r="F22" s="28" t="s">
        <v>66</v>
      </c>
      <c r="G22" s="28" t="s">
        <v>50</v>
      </c>
      <c r="H22" s="28" t="s">
        <v>121</v>
      </c>
      <c r="I22" s="28" t="s">
        <v>128</v>
      </c>
      <c r="J22" s="65">
        <v>3</v>
      </c>
      <c r="K22" s="30">
        <v>24100000</v>
      </c>
      <c r="L22" s="20">
        <v>0</v>
      </c>
      <c r="M22" s="20">
        <v>0</v>
      </c>
      <c r="N22" s="21">
        <f t="shared" si="0"/>
        <v>24100000</v>
      </c>
      <c r="O22" s="22"/>
      <c r="P22" s="22"/>
      <c r="Q22" s="22"/>
      <c r="R22" s="21">
        <f t="shared" si="1"/>
        <v>24100000</v>
      </c>
      <c r="S22" s="20">
        <v>16687853.140000001</v>
      </c>
      <c r="T22" s="23">
        <f t="shared" si="2"/>
        <v>0.69244203900414936</v>
      </c>
      <c r="U22" s="46">
        <v>16687853.140000001</v>
      </c>
      <c r="V22" s="23">
        <f t="shared" si="3"/>
        <v>0.69244203900414936</v>
      </c>
      <c r="W22" s="20">
        <v>16687853.140000001</v>
      </c>
      <c r="X22" s="23">
        <f t="shared" si="4"/>
        <v>0.69244203900414936</v>
      </c>
      <c r="Y22" s="5"/>
      <c r="Z22" s="5"/>
      <c r="AA22" s="5"/>
    </row>
    <row r="23" spans="1:27" ht="63" hidden="1" customHeight="1" x14ac:dyDescent="0.2">
      <c r="A23" s="17" t="s">
        <v>45</v>
      </c>
      <c r="B23" s="28" t="s">
        <v>46</v>
      </c>
      <c r="C23" s="28" t="s">
        <v>67</v>
      </c>
      <c r="D23" s="28" t="s">
        <v>68</v>
      </c>
      <c r="E23" s="28" t="s">
        <v>60</v>
      </c>
      <c r="F23" s="28" t="s">
        <v>69</v>
      </c>
      <c r="G23" s="28" t="s">
        <v>50</v>
      </c>
      <c r="H23" s="28" t="s">
        <v>51</v>
      </c>
      <c r="I23" s="28" t="s">
        <v>128</v>
      </c>
      <c r="J23" s="19">
        <v>3</v>
      </c>
      <c r="K23" s="30"/>
      <c r="L23" s="20"/>
      <c r="M23" s="20"/>
      <c r="N23" s="21">
        <f t="shared" si="0"/>
        <v>0</v>
      </c>
      <c r="O23" s="22"/>
      <c r="P23" s="22"/>
      <c r="Q23" s="22"/>
      <c r="R23" s="21">
        <f t="shared" si="1"/>
        <v>0</v>
      </c>
      <c r="S23" s="20"/>
      <c r="T23" s="23">
        <f t="shared" si="2"/>
        <v>0</v>
      </c>
      <c r="U23" s="24"/>
      <c r="V23" s="23">
        <f t="shared" si="3"/>
        <v>0</v>
      </c>
      <c r="W23" s="20"/>
      <c r="X23" s="23">
        <f t="shared" si="4"/>
        <v>0</v>
      </c>
      <c r="Y23" s="5"/>
      <c r="Z23" s="5"/>
      <c r="AA23" s="5"/>
    </row>
    <row r="24" spans="1:27" ht="63" customHeight="1" x14ac:dyDescent="0.2">
      <c r="A24" s="17" t="s">
        <v>45</v>
      </c>
      <c r="B24" s="28" t="s">
        <v>46</v>
      </c>
      <c r="C24" s="28" t="s">
        <v>70</v>
      </c>
      <c r="D24" s="28" t="s">
        <v>71</v>
      </c>
      <c r="E24" s="28" t="s">
        <v>60</v>
      </c>
      <c r="F24" s="28" t="s">
        <v>72</v>
      </c>
      <c r="G24" s="28" t="s">
        <v>50</v>
      </c>
      <c r="H24" s="28" t="s">
        <v>121</v>
      </c>
      <c r="I24" s="28" t="s">
        <v>128</v>
      </c>
      <c r="J24" s="26">
        <v>1</v>
      </c>
      <c r="K24" s="29">
        <v>120000</v>
      </c>
      <c r="L24" s="20">
        <v>0</v>
      </c>
      <c r="M24" s="20">
        <v>0</v>
      </c>
      <c r="N24" s="21">
        <f t="shared" si="0"/>
        <v>120000</v>
      </c>
      <c r="O24" s="21"/>
      <c r="P24" s="21"/>
      <c r="Q24" s="21"/>
      <c r="R24" s="21">
        <f t="shared" si="1"/>
        <v>120000</v>
      </c>
      <c r="S24" s="30">
        <v>70480</v>
      </c>
      <c r="T24" s="23">
        <f t="shared" si="2"/>
        <v>0.58733333333333337</v>
      </c>
      <c r="U24" s="27">
        <v>70480</v>
      </c>
      <c r="V24" s="23">
        <f t="shared" si="3"/>
        <v>0.58733333333333337</v>
      </c>
      <c r="W24" s="20">
        <v>70480</v>
      </c>
      <c r="X24" s="23">
        <f t="shared" si="4"/>
        <v>0.58733333333333337</v>
      </c>
      <c r="Y24" s="5"/>
      <c r="Z24" s="5"/>
      <c r="AA24" s="5"/>
    </row>
    <row r="25" spans="1:27" ht="63" customHeight="1" x14ac:dyDescent="0.2">
      <c r="A25" s="17" t="s">
        <v>45</v>
      </c>
      <c r="B25" s="28" t="s">
        <v>46</v>
      </c>
      <c r="C25" s="28" t="s">
        <v>73</v>
      </c>
      <c r="D25" s="28" t="s">
        <v>74</v>
      </c>
      <c r="E25" s="28" t="s">
        <v>130</v>
      </c>
      <c r="F25" s="28" t="s">
        <v>75</v>
      </c>
      <c r="G25" s="28" t="s">
        <v>131</v>
      </c>
      <c r="H25" s="28" t="s">
        <v>121</v>
      </c>
      <c r="I25" s="28" t="s">
        <v>128</v>
      </c>
      <c r="J25" s="26">
        <v>1</v>
      </c>
      <c r="K25" s="30">
        <f>115250000-K26</f>
        <v>109500000</v>
      </c>
      <c r="L25" s="20">
        <v>28256000</v>
      </c>
      <c r="M25" s="20">
        <v>28256000</v>
      </c>
      <c r="N25" s="21">
        <f t="shared" si="0"/>
        <v>109500000</v>
      </c>
      <c r="O25" s="21"/>
      <c r="P25" s="21"/>
      <c r="Q25" s="21">
        <f>-9922000-22096774.7</f>
        <v>-32018774.699999999</v>
      </c>
      <c r="R25" s="21">
        <f t="shared" si="1"/>
        <v>77481225.299999997</v>
      </c>
      <c r="S25" s="20">
        <f>53404676.55-S26</f>
        <v>49606948.649999999</v>
      </c>
      <c r="T25" s="23">
        <f t="shared" si="2"/>
        <v>0.64024476197848668</v>
      </c>
      <c r="U25" s="27">
        <f>53378165.17-U26</f>
        <v>49606948.649999999</v>
      </c>
      <c r="V25" s="23">
        <f t="shared" si="3"/>
        <v>0.64024476197848668</v>
      </c>
      <c r="W25" s="20">
        <f>53378165.17-W26</f>
        <v>49606948.649999999</v>
      </c>
      <c r="X25" s="23">
        <f t="shared" si="4"/>
        <v>0.64024476197848668</v>
      </c>
      <c r="Y25" s="5"/>
      <c r="Z25" s="5"/>
      <c r="AA25" s="5"/>
    </row>
    <row r="26" spans="1:27" ht="63" customHeight="1" x14ac:dyDescent="0.2">
      <c r="A26" s="17" t="s">
        <v>45</v>
      </c>
      <c r="B26" s="28" t="s">
        <v>46</v>
      </c>
      <c r="C26" s="28" t="s">
        <v>73</v>
      </c>
      <c r="D26" s="28" t="s">
        <v>74</v>
      </c>
      <c r="E26" s="28" t="s">
        <v>130</v>
      </c>
      <c r="F26" s="28" t="s">
        <v>75</v>
      </c>
      <c r="G26" s="28" t="s">
        <v>131</v>
      </c>
      <c r="H26" s="28" t="s">
        <v>121</v>
      </c>
      <c r="I26" s="28" t="s">
        <v>128</v>
      </c>
      <c r="J26" s="65">
        <v>3</v>
      </c>
      <c r="K26" s="30">
        <v>5750000</v>
      </c>
      <c r="L26" s="20">
        <v>0</v>
      </c>
      <c r="M26" s="20">
        <v>0</v>
      </c>
      <c r="N26" s="21">
        <f t="shared" si="0"/>
        <v>5750000</v>
      </c>
      <c r="O26" s="21"/>
      <c r="P26" s="21"/>
      <c r="Q26" s="21"/>
      <c r="R26" s="21">
        <f t="shared" si="1"/>
        <v>5750000</v>
      </c>
      <c r="S26" s="20">
        <f>133211.9+3664516</f>
        <v>3797727.9</v>
      </c>
      <c r="T26" s="23">
        <f t="shared" si="2"/>
        <v>0.6604744173913043</v>
      </c>
      <c r="U26" s="46">
        <f>106700.52+3664516</f>
        <v>3771216.52</v>
      </c>
      <c r="V26" s="23">
        <f t="shared" si="3"/>
        <v>0.65586374260869562</v>
      </c>
      <c r="W26" s="20">
        <f>106700.52+3664516</f>
        <v>3771216.52</v>
      </c>
      <c r="X26" s="23">
        <f t="shared" si="4"/>
        <v>0.65586374260869562</v>
      </c>
      <c r="Y26" s="5"/>
      <c r="Z26" s="5"/>
      <c r="AA26" s="5"/>
    </row>
    <row r="27" spans="1:27" ht="63" hidden="1" customHeight="1" x14ac:dyDescent="0.2">
      <c r="A27" s="17" t="s">
        <v>45</v>
      </c>
      <c r="B27" s="18" t="s">
        <v>46</v>
      </c>
      <c r="C27" s="18" t="s">
        <v>73</v>
      </c>
      <c r="D27" s="18" t="s">
        <v>74</v>
      </c>
      <c r="E27" s="18" t="s">
        <v>60</v>
      </c>
      <c r="F27" s="18" t="s">
        <v>75</v>
      </c>
      <c r="G27" s="18" t="s">
        <v>50</v>
      </c>
      <c r="H27" s="18" t="s">
        <v>76</v>
      </c>
      <c r="I27" s="28" t="s">
        <v>128</v>
      </c>
      <c r="J27" s="26">
        <v>1</v>
      </c>
      <c r="K27" s="20"/>
      <c r="L27" s="20"/>
      <c r="M27" s="20"/>
      <c r="N27" s="21">
        <f t="shared" si="0"/>
        <v>0</v>
      </c>
      <c r="O27" s="21"/>
      <c r="P27" s="21"/>
      <c r="Q27" s="21"/>
      <c r="R27" s="21">
        <f t="shared" si="1"/>
        <v>0</v>
      </c>
      <c r="S27" s="20"/>
      <c r="T27" s="23">
        <f t="shared" si="2"/>
        <v>0</v>
      </c>
      <c r="U27" s="27"/>
      <c r="V27" s="23">
        <f t="shared" si="3"/>
        <v>0</v>
      </c>
      <c r="W27" s="20"/>
      <c r="X27" s="23">
        <f t="shared" si="4"/>
        <v>0</v>
      </c>
      <c r="Y27" s="5"/>
      <c r="Z27" s="5"/>
      <c r="AA27" s="5"/>
    </row>
    <row r="28" spans="1:27" ht="63" customHeight="1" x14ac:dyDescent="0.2">
      <c r="A28" s="17" t="s">
        <v>45</v>
      </c>
      <c r="B28" s="18" t="s">
        <v>46</v>
      </c>
      <c r="C28" s="18" t="s">
        <v>77</v>
      </c>
      <c r="D28" s="18" t="s">
        <v>78</v>
      </c>
      <c r="E28" s="18" t="s">
        <v>132</v>
      </c>
      <c r="F28" s="18" t="s">
        <v>79</v>
      </c>
      <c r="G28" s="18" t="s">
        <v>50</v>
      </c>
      <c r="H28" s="18" t="s">
        <v>121</v>
      </c>
      <c r="I28" s="28" t="s">
        <v>128</v>
      </c>
      <c r="J28" s="26">
        <v>1</v>
      </c>
      <c r="K28" s="20">
        <v>73000</v>
      </c>
      <c r="L28" s="20">
        <v>0</v>
      </c>
      <c r="M28" s="20">
        <v>0</v>
      </c>
      <c r="N28" s="21">
        <f t="shared" si="0"/>
        <v>73000</v>
      </c>
      <c r="O28" s="21"/>
      <c r="P28" s="21"/>
      <c r="Q28" s="21"/>
      <c r="R28" s="21">
        <f t="shared" si="1"/>
        <v>73000</v>
      </c>
      <c r="S28" s="20">
        <v>37495.96</v>
      </c>
      <c r="T28" s="23">
        <f t="shared" si="2"/>
        <v>0.51364328767123291</v>
      </c>
      <c r="U28" s="27">
        <v>37495.96</v>
      </c>
      <c r="V28" s="23">
        <f t="shared" si="3"/>
        <v>0.51364328767123291</v>
      </c>
      <c r="W28" s="20">
        <v>37495.96</v>
      </c>
      <c r="X28" s="23">
        <f t="shared" si="4"/>
        <v>0.51364328767123291</v>
      </c>
      <c r="Y28" s="5"/>
      <c r="Z28" s="5"/>
      <c r="AA28" s="5"/>
    </row>
    <row r="29" spans="1:27" ht="63" hidden="1" customHeight="1" x14ac:dyDescent="0.2">
      <c r="A29" s="17" t="s">
        <v>45</v>
      </c>
      <c r="B29" s="18" t="s">
        <v>46</v>
      </c>
      <c r="C29" s="18" t="s">
        <v>77</v>
      </c>
      <c r="D29" s="18" t="s">
        <v>78</v>
      </c>
      <c r="E29" s="18" t="s">
        <v>60</v>
      </c>
      <c r="F29" s="18" t="s">
        <v>79</v>
      </c>
      <c r="G29" s="18" t="s">
        <v>50</v>
      </c>
      <c r="H29" s="18" t="s">
        <v>76</v>
      </c>
      <c r="I29" s="18" t="s">
        <v>58</v>
      </c>
      <c r="J29" s="26">
        <v>1</v>
      </c>
      <c r="K29" s="20"/>
      <c r="L29" s="20"/>
      <c r="M29" s="20"/>
      <c r="N29" s="21">
        <f t="shared" si="0"/>
        <v>0</v>
      </c>
      <c r="O29" s="21"/>
      <c r="P29" s="21"/>
      <c r="Q29" s="21"/>
      <c r="R29" s="21">
        <f t="shared" si="1"/>
        <v>0</v>
      </c>
      <c r="S29" s="20"/>
      <c r="T29" s="23">
        <f t="shared" si="2"/>
        <v>0</v>
      </c>
      <c r="U29" s="27"/>
      <c r="V29" s="23">
        <f t="shared" si="3"/>
        <v>0</v>
      </c>
      <c r="W29" s="20"/>
      <c r="X29" s="23">
        <f t="shared" si="4"/>
        <v>0</v>
      </c>
      <c r="Y29" s="5"/>
      <c r="Z29" s="5"/>
      <c r="AA29" s="5"/>
    </row>
    <row r="30" spans="1:27" ht="16.5" customHeight="1" x14ac:dyDescent="0.2">
      <c r="A30" s="81" t="s">
        <v>80</v>
      </c>
      <c r="B30" s="70"/>
      <c r="C30" s="70"/>
      <c r="D30" s="70"/>
      <c r="E30" s="70"/>
      <c r="F30" s="70"/>
      <c r="G30" s="70"/>
      <c r="H30" s="70"/>
      <c r="I30" s="70"/>
      <c r="J30" s="71"/>
      <c r="K30" s="34">
        <f t="shared" ref="K30:N30" si="5">SUM(K14:K29)</f>
        <v>943786000</v>
      </c>
      <c r="L30" s="34">
        <f t="shared" si="5"/>
        <v>53466420.450000003</v>
      </c>
      <c r="M30" s="34">
        <f t="shared" si="5"/>
        <v>53466420.450000003</v>
      </c>
      <c r="N30" s="34">
        <f t="shared" si="5"/>
        <v>943786000</v>
      </c>
      <c r="O30" s="34">
        <f t="shared" ref="O30:P30" si="6">SUM(O14:O28)</f>
        <v>0</v>
      </c>
      <c r="P30" s="34">
        <f t="shared" si="6"/>
        <v>0</v>
      </c>
      <c r="Q30" s="34">
        <f t="shared" ref="Q30:S30" si="7">SUM(Q14:Q29)</f>
        <v>-32018774.699999999</v>
      </c>
      <c r="R30" s="34">
        <f>SUM(R14:R29)</f>
        <v>911767225.29999995</v>
      </c>
      <c r="S30" s="34">
        <f t="shared" si="7"/>
        <v>604396523.03999996</v>
      </c>
      <c r="T30" s="35">
        <f t="shared" si="2"/>
        <v>0.66288467743632107</v>
      </c>
      <c r="U30" s="34">
        <f>SUM(U14:U29)</f>
        <v>604368895.73999989</v>
      </c>
      <c r="V30" s="35">
        <f t="shared" si="3"/>
        <v>0.66285437661037183</v>
      </c>
      <c r="W30" s="34">
        <f>SUM(W14:W29)</f>
        <v>590664577.8499999</v>
      </c>
      <c r="X30" s="35">
        <f t="shared" si="4"/>
        <v>0.64782387594120061</v>
      </c>
      <c r="Y30" s="5"/>
      <c r="Z30" s="5"/>
      <c r="AA30" s="5"/>
    </row>
    <row r="31" spans="1:27" ht="15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4"/>
      <c r="L31" s="34"/>
      <c r="M31" s="34"/>
      <c r="N31" s="34"/>
      <c r="O31" s="34"/>
      <c r="P31" s="34"/>
      <c r="Q31" s="34"/>
      <c r="R31" s="34"/>
      <c r="S31" s="34"/>
      <c r="T31" s="35"/>
      <c r="U31" s="34"/>
      <c r="V31" s="35"/>
      <c r="W31" s="34"/>
      <c r="X31" s="35"/>
      <c r="Y31" s="5"/>
      <c r="Z31" s="5"/>
      <c r="AA31" s="5"/>
    </row>
    <row r="32" spans="1:27" ht="15" customHeight="1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8"/>
      <c r="L32" s="38"/>
      <c r="M32" s="38"/>
      <c r="N32" s="38"/>
      <c r="O32" s="38"/>
      <c r="P32" s="38"/>
      <c r="Q32" s="38"/>
      <c r="R32" s="38"/>
      <c r="S32" s="38"/>
      <c r="T32" s="33"/>
      <c r="U32" s="38"/>
      <c r="V32" s="33"/>
      <c r="W32" s="38"/>
      <c r="X32" s="33"/>
      <c r="Y32" s="5"/>
      <c r="Z32" s="5"/>
      <c r="AA32" s="5"/>
    </row>
    <row r="33" spans="1:27" ht="54" customHeight="1" x14ac:dyDescent="0.2">
      <c r="A33" s="17" t="s">
        <v>81</v>
      </c>
      <c r="B33" s="28" t="s">
        <v>82</v>
      </c>
      <c r="C33" s="28" t="s">
        <v>47</v>
      </c>
      <c r="D33" s="28" t="s">
        <v>83</v>
      </c>
      <c r="E33" s="28" t="s">
        <v>84</v>
      </c>
      <c r="F33" s="28" t="s">
        <v>85</v>
      </c>
      <c r="G33" s="28" t="s">
        <v>50</v>
      </c>
      <c r="H33" s="28" t="s">
        <v>123</v>
      </c>
      <c r="I33" s="28" t="s">
        <v>133</v>
      </c>
      <c r="J33" s="39">
        <v>4</v>
      </c>
      <c r="K33" s="40">
        <v>4000000</v>
      </c>
      <c r="L33" s="20">
        <v>0</v>
      </c>
      <c r="M33" s="20">
        <v>4000000</v>
      </c>
      <c r="N33" s="21">
        <f t="shared" ref="N33:N82" si="8">K33+L33-M33</f>
        <v>0</v>
      </c>
      <c r="O33" s="21"/>
      <c r="P33" s="21"/>
      <c r="Q33" s="21"/>
      <c r="R33" s="21">
        <f t="shared" ref="R33:R82" si="9">N33-O33+P33+Q33</f>
        <v>0</v>
      </c>
      <c r="S33" s="40">
        <v>0</v>
      </c>
      <c r="T33" s="23">
        <f t="shared" ref="T33:T84" si="10">IF(R33&gt;0,S33/R33,0)</f>
        <v>0</v>
      </c>
      <c r="U33" s="41">
        <v>0</v>
      </c>
      <c r="V33" s="23">
        <f t="shared" ref="V33:V84" si="11">IF(R33&gt;0,U33/R33,0)</f>
        <v>0</v>
      </c>
      <c r="W33" s="20">
        <v>0</v>
      </c>
      <c r="X33" s="23">
        <f t="shared" ref="X33:X84" si="12">IF(R33&gt;0,W33/R33,0)</f>
        <v>0</v>
      </c>
      <c r="Y33" s="5"/>
      <c r="Z33" s="5"/>
      <c r="AA33" s="5"/>
    </row>
    <row r="34" spans="1:27" ht="54" hidden="1" customHeight="1" x14ac:dyDescent="0.2">
      <c r="A34" s="17" t="s">
        <v>81</v>
      </c>
      <c r="B34" s="28" t="s">
        <v>82</v>
      </c>
      <c r="C34" s="28" t="s">
        <v>47</v>
      </c>
      <c r="D34" s="28" t="s">
        <v>87</v>
      </c>
      <c r="E34" s="28" t="s">
        <v>84</v>
      </c>
      <c r="F34" s="28" t="s">
        <v>85</v>
      </c>
      <c r="G34" s="28" t="s">
        <v>50</v>
      </c>
      <c r="H34" s="28" t="s">
        <v>88</v>
      </c>
      <c r="I34" s="28" t="s">
        <v>133</v>
      </c>
      <c r="J34" s="19">
        <v>3</v>
      </c>
      <c r="K34" s="40"/>
      <c r="L34" s="20"/>
      <c r="M34" s="20"/>
      <c r="N34" s="21">
        <f t="shared" si="8"/>
        <v>0</v>
      </c>
      <c r="O34" s="21"/>
      <c r="P34" s="21"/>
      <c r="Q34" s="21"/>
      <c r="R34" s="21">
        <f t="shared" si="9"/>
        <v>0</v>
      </c>
      <c r="S34" s="40"/>
      <c r="T34" s="23">
        <f t="shared" si="10"/>
        <v>0</v>
      </c>
      <c r="U34" s="24"/>
      <c r="V34" s="23">
        <f t="shared" si="11"/>
        <v>0</v>
      </c>
      <c r="W34" s="20"/>
      <c r="X34" s="23">
        <f t="shared" si="12"/>
        <v>0</v>
      </c>
      <c r="Y34" s="5"/>
      <c r="Z34" s="5"/>
      <c r="AA34" s="5"/>
    </row>
    <row r="35" spans="1:27" ht="54" hidden="1" customHeight="1" x14ac:dyDescent="0.2">
      <c r="A35" s="17" t="s">
        <v>81</v>
      </c>
      <c r="B35" s="28" t="s">
        <v>82</v>
      </c>
      <c r="C35" s="28" t="s">
        <v>47</v>
      </c>
      <c r="D35" s="28" t="s">
        <v>89</v>
      </c>
      <c r="E35" s="28" t="s">
        <v>84</v>
      </c>
      <c r="F35" s="28" t="s">
        <v>85</v>
      </c>
      <c r="G35" s="28" t="s">
        <v>50</v>
      </c>
      <c r="H35" s="28" t="s">
        <v>88</v>
      </c>
      <c r="I35" s="28" t="s">
        <v>133</v>
      </c>
      <c r="J35" s="39">
        <v>4</v>
      </c>
      <c r="K35" s="40"/>
      <c r="L35" s="20"/>
      <c r="M35" s="20"/>
      <c r="N35" s="21">
        <f t="shared" si="8"/>
        <v>0</v>
      </c>
      <c r="O35" s="21"/>
      <c r="P35" s="21"/>
      <c r="Q35" s="21"/>
      <c r="R35" s="21">
        <f t="shared" si="9"/>
        <v>0</v>
      </c>
      <c r="S35" s="40"/>
      <c r="T35" s="23">
        <f t="shared" si="10"/>
        <v>0</v>
      </c>
      <c r="U35" s="41"/>
      <c r="V35" s="23">
        <f t="shared" si="11"/>
        <v>0</v>
      </c>
      <c r="W35" s="20"/>
      <c r="X35" s="23">
        <f t="shared" si="12"/>
        <v>0</v>
      </c>
      <c r="Y35" s="5"/>
      <c r="Z35" s="5"/>
      <c r="AA35" s="5"/>
    </row>
    <row r="36" spans="1:27" ht="54" customHeight="1" x14ac:dyDescent="0.2">
      <c r="A36" s="17" t="s">
        <v>81</v>
      </c>
      <c r="B36" s="28" t="s">
        <v>82</v>
      </c>
      <c r="C36" s="28" t="s">
        <v>47</v>
      </c>
      <c r="D36" s="28" t="s">
        <v>134</v>
      </c>
      <c r="E36" s="28" t="s">
        <v>84</v>
      </c>
      <c r="F36" s="28" t="s">
        <v>85</v>
      </c>
      <c r="G36" s="28" t="s">
        <v>50</v>
      </c>
      <c r="H36" s="28" t="s">
        <v>135</v>
      </c>
      <c r="I36" s="28" t="s">
        <v>133</v>
      </c>
      <c r="J36" s="65">
        <v>3</v>
      </c>
      <c r="K36" s="40">
        <v>0</v>
      </c>
      <c r="L36" s="20">
        <v>30090</v>
      </c>
      <c r="M36" s="20">
        <v>0</v>
      </c>
      <c r="N36" s="21">
        <f t="shared" si="8"/>
        <v>30090</v>
      </c>
      <c r="O36" s="21"/>
      <c r="P36" s="21"/>
      <c r="Q36" s="21"/>
      <c r="R36" s="21">
        <f t="shared" si="9"/>
        <v>30090</v>
      </c>
      <c r="S36" s="40">
        <v>30090</v>
      </c>
      <c r="T36" s="23">
        <f t="shared" si="10"/>
        <v>1</v>
      </c>
      <c r="U36" s="46">
        <v>0</v>
      </c>
      <c r="V36" s="23">
        <f t="shared" si="11"/>
        <v>0</v>
      </c>
      <c r="W36" s="20">
        <v>0</v>
      </c>
      <c r="X36" s="23">
        <f t="shared" si="12"/>
        <v>0</v>
      </c>
      <c r="Y36" s="5"/>
      <c r="Z36" s="5"/>
      <c r="AA36" s="5"/>
    </row>
    <row r="37" spans="1:27" ht="54" hidden="1" customHeight="1" x14ac:dyDescent="0.2">
      <c r="A37" s="17" t="s">
        <v>81</v>
      </c>
      <c r="B37" s="28" t="s">
        <v>82</v>
      </c>
      <c r="C37" s="28" t="s">
        <v>47</v>
      </c>
      <c r="D37" s="28" t="s">
        <v>90</v>
      </c>
      <c r="E37" s="28" t="s">
        <v>84</v>
      </c>
      <c r="F37" s="28" t="s">
        <v>85</v>
      </c>
      <c r="G37" s="28" t="s">
        <v>50</v>
      </c>
      <c r="H37" s="28" t="s">
        <v>86</v>
      </c>
      <c r="I37" s="28" t="s">
        <v>133</v>
      </c>
      <c r="J37" s="65">
        <v>3</v>
      </c>
      <c r="K37" s="40"/>
      <c r="L37" s="20"/>
      <c r="M37" s="20"/>
      <c r="N37" s="21">
        <f t="shared" si="8"/>
        <v>0</v>
      </c>
      <c r="O37" s="21"/>
      <c r="P37" s="21"/>
      <c r="Q37" s="21"/>
      <c r="R37" s="21">
        <f t="shared" si="9"/>
        <v>0</v>
      </c>
      <c r="S37" s="40"/>
      <c r="T37" s="23">
        <f t="shared" si="10"/>
        <v>0</v>
      </c>
      <c r="U37" s="46"/>
      <c r="V37" s="23">
        <f t="shared" si="11"/>
        <v>0</v>
      </c>
      <c r="W37" s="20"/>
      <c r="X37" s="23">
        <f t="shared" si="12"/>
        <v>0</v>
      </c>
      <c r="Y37" s="5"/>
      <c r="Z37" s="5"/>
      <c r="AA37" s="5"/>
    </row>
    <row r="38" spans="1:27" ht="54" hidden="1" customHeight="1" x14ac:dyDescent="0.2">
      <c r="A38" s="42" t="s">
        <v>81</v>
      </c>
      <c r="B38" s="28" t="s">
        <v>82</v>
      </c>
      <c r="C38" s="64" t="s">
        <v>47</v>
      </c>
      <c r="D38" s="64" t="s">
        <v>90</v>
      </c>
      <c r="E38" s="28" t="s">
        <v>84</v>
      </c>
      <c r="F38" s="28" t="s">
        <v>85</v>
      </c>
      <c r="G38" s="64" t="s">
        <v>50</v>
      </c>
      <c r="H38" s="64" t="s">
        <v>88</v>
      </c>
      <c r="I38" s="28" t="s">
        <v>133</v>
      </c>
      <c r="J38" s="67">
        <v>4</v>
      </c>
      <c r="K38" s="40"/>
      <c r="L38" s="43"/>
      <c r="M38" s="43"/>
      <c r="N38" s="21">
        <f t="shared" si="8"/>
        <v>0</v>
      </c>
      <c r="O38" s="44"/>
      <c r="P38" s="44"/>
      <c r="Q38" s="44"/>
      <c r="R38" s="21">
        <f t="shared" si="9"/>
        <v>0</v>
      </c>
      <c r="S38" s="45"/>
      <c r="T38" s="23">
        <f t="shared" si="10"/>
        <v>0</v>
      </c>
      <c r="U38" s="68"/>
      <c r="V38" s="23">
        <f t="shared" si="11"/>
        <v>0</v>
      </c>
      <c r="W38" s="43"/>
      <c r="X38" s="23">
        <f t="shared" si="12"/>
        <v>0</v>
      </c>
      <c r="Y38" s="5"/>
      <c r="Z38" s="5"/>
      <c r="AA38" s="5"/>
    </row>
    <row r="39" spans="1:27" ht="54" customHeight="1" x14ac:dyDescent="0.2">
      <c r="A39" s="17" t="s">
        <v>81</v>
      </c>
      <c r="B39" s="28" t="s">
        <v>82</v>
      </c>
      <c r="C39" s="28" t="s">
        <v>47</v>
      </c>
      <c r="D39" s="28" t="s">
        <v>91</v>
      </c>
      <c r="E39" s="28" t="s">
        <v>84</v>
      </c>
      <c r="F39" s="28" t="s">
        <v>85</v>
      </c>
      <c r="G39" s="28" t="s">
        <v>50</v>
      </c>
      <c r="H39" s="28" t="s">
        <v>123</v>
      </c>
      <c r="I39" s="28" t="s">
        <v>133</v>
      </c>
      <c r="J39" s="65">
        <v>3</v>
      </c>
      <c r="K39" s="29">
        <v>0</v>
      </c>
      <c r="L39" s="20">
        <v>564822.43999999994</v>
      </c>
      <c r="M39" s="20">
        <v>0</v>
      </c>
      <c r="N39" s="21">
        <f t="shared" si="8"/>
        <v>564822.43999999994</v>
      </c>
      <c r="O39" s="22"/>
      <c r="P39" s="22"/>
      <c r="Q39" s="22"/>
      <c r="R39" s="21">
        <f t="shared" si="9"/>
        <v>564822.43999999994</v>
      </c>
      <c r="S39" s="32">
        <v>564822.43999999994</v>
      </c>
      <c r="T39" s="23">
        <f t="shared" si="10"/>
        <v>1</v>
      </c>
      <c r="U39" s="46">
        <v>564822.43999999994</v>
      </c>
      <c r="V39" s="23">
        <f t="shared" si="11"/>
        <v>1</v>
      </c>
      <c r="W39" s="20">
        <v>563509.54</v>
      </c>
      <c r="X39" s="23">
        <f t="shared" si="12"/>
        <v>0.99767555269227637</v>
      </c>
      <c r="Y39" s="5"/>
      <c r="Z39" s="5"/>
      <c r="AA39" s="5"/>
    </row>
    <row r="40" spans="1:27" ht="54" customHeight="1" x14ac:dyDescent="0.2">
      <c r="A40" s="17" t="s">
        <v>81</v>
      </c>
      <c r="B40" s="28" t="s">
        <v>82</v>
      </c>
      <c r="C40" s="28" t="s">
        <v>47</v>
      </c>
      <c r="D40" s="28" t="s">
        <v>91</v>
      </c>
      <c r="E40" s="28" t="s">
        <v>84</v>
      </c>
      <c r="F40" s="28" t="s">
        <v>85</v>
      </c>
      <c r="G40" s="28" t="s">
        <v>50</v>
      </c>
      <c r="H40" s="28" t="s">
        <v>123</v>
      </c>
      <c r="I40" s="28" t="s">
        <v>133</v>
      </c>
      <c r="J40" s="39">
        <v>4</v>
      </c>
      <c r="K40" s="29">
        <v>0</v>
      </c>
      <c r="L40" s="20">
        <v>675695.59</v>
      </c>
      <c r="M40" s="20">
        <v>0</v>
      </c>
      <c r="N40" s="21">
        <f t="shared" si="8"/>
        <v>675695.59</v>
      </c>
      <c r="O40" s="22"/>
      <c r="P40" s="22"/>
      <c r="Q40" s="22"/>
      <c r="R40" s="21">
        <f t="shared" si="9"/>
        <v>675695.59</v>
      </c>
      <c r="S40" s="32">
        <f>305000+370695.59</f>
        <v>675695.59000000008</v>
      </c>
      <c r="T40" s="23">
        <f t="shared" si="10"/>
        <v>1.0000000000000002</v>
      </c>
      <c r="U40" s="41">
        <v>370695.59</v>
      </c>
      <c r="V40" s="23">
        <f t="shared" si="11"/>
        <v>0.54861330381037421</v>
      </c>
      <c r="W40" s="20">
        <v>370695.59</v>
      </c>
      <c r="X40" s="23">
        <f t="shared" si="12"/>
        <v>0.54861330381037421</v>
      </c>
      <c r="Y40" s="5"/>
      <c r="Z40" s="5"/>
      <c r="AA40" s="5"/>
    </row>
    <row r="41" spans="1:27" ht="54" customHeight="1" x14ac:dyDescent="0.2">
      <c r="A41" s="17" t="s">
        <v>81</v>
      </c>
      <c r="B41" s="28" t="s">
        <v>82</v>
      </c>
      <c r="C41" s="28" t="s">
        <v>47</v>
      </c>
      <c r="D41" s="28" t="s">
        <v>91</v>
      </c>
      <c r="E41" s="28" t="s">
        <v>84</v>
      </c>
      <c r="F41" s="28" t="s">
        <v>85</v>
      </c>
      <c r="G41" s="28" t="s">
        <v>50</v>
      </c>
      <c r="H41" s="28" t="s">
        <v>135</v>
      </c>
      <c r="I41" s="28" t="s">
        <v>133</v>
      </c>
      <c r="J41" s="39">
        <v>4</v>
      </c>
      <c r="K41" s="29">
        <v>0</v>
      </c>
      <c r="L41" s="20">
        <v>134178.35</v>
      </c>
      <c r="M41" s="20">
        <v>0</v>
      </c>
      <c r="N41" s="21">
        <f t="shared" si="8"/>
        <v>134178.35</v>
      </c>
      <c r="O41" s="22"/>
      <c r="P41" s="22"/>
      <c r="Q41" s="22"/>
      <c r="R41" s="21">
        <f t="shared" si="9"/>
        <v>134178.35</v>
      </c>
      <c r="S41" s="32">
        <v>0</v>
      </c>
      <c r="T41" s="23">
        <f t="shared" si="10"/>
        <v>0</v>
      </c>
      <c r="U41" s="41">
        <v>0</v>
      </c>
      <c r="V41" s="23">
        <f t="shared" si="11"/>
        <v>0</v>
      </c>
      <c r="W41" s="20">
        <v>0</v>
      </c>
      <c r="X41" s="23">
        <f t="shared" si="12"/>
        <v>0</v>
      </c>
      <c r="Y41" s="5"/>
      <c r="Z41" s="5"/>
      <c r="AA41" s="5"/>
    </row>
    <row r="42" spans="1:27" ht="54" customHeight="1" x14ac:dyDescent="0.2">
      <c r="A42" s="17" t="s">
        <v>81</v>
      </c>
      <c r="B42" s="28" t="s">
        <v>82</v>
      </c>
      <c r="C42" s="28" t="s">
        <v>47</v>
      </c>
      <c r="D42" s="28" t="s">
        <v>92</v>
      </c>
      <c r="E42" s="28" t="s">
        <v>84</v>
      </c>
      <c r="F42" s="28" t="s">
        <v>93</v>
      </c>
      <c r="G42" s="28" t="s">
        <v>50</v>
      </c>
      <c r="H42" s="28" t="s">
        <v>123</v>
      </c>
      <c r="I42" s="28" t="s">
        <v>133</v>
      </c>
      <c r="J42" s="39">
        <v>4</v>
      </c>
      <c r="K42" s="29">
        <v>16520000</v>
      </c>
      <c r="L42" s="20">
        <v>0</v>
      </c>
      <c r="M42" s="20">
        <v>12433134.119999999</v>
      </c>
      <c r="N42" s="21">
        <f t="shared" si="8"/>
        <v>4086865.8800000008</v>
      </c>
      <c r="O42" s="21"/>
      <c r="P42" s="21"/>
      <c r="Q42" s="21"/>
      <c r="R42" s="21">
        <f t="shared" si="9"/>
        <v>4086865.8800000008</v>
      </c>
      <c r="S42" s="29">
        <v>0</v>
      </c>
      <c r="T42" s="23">
        <f t="shared" si="10"/>
        <v>0</v>
      </c>
      <c r="U42" s="41">
        <v>0</v>
      </c>
      <c r="V42" s="23">
        <f t="shared" si="11"/>
        <v>0</v>
      </c>
      <c r="W42" s="20">
        <v>0</v>
      </c>
      <c r="X42" s="23">
        <f t="shared" si="12"/>
        <v>0</v>
      </c>
      <c r="Y42" s="5"/>
      <c r="Z42" s="5"/>
      <c r="AA42" s="5"/>
    </row>
    <row r="43" spans="1:27" ht="54" customHeight="1" x14ac:dyDescent="0.2">
      <c r="A43" s="17" t="s">
        <v>81</v>
      </c>
      <c r="B43" s="28" t="s">
        <v>82</v>
      </c>
      <c r="C43" s="28" t="s">
        <v>47</v>
      </c>
      <c r="D43" s="28" t="s">
        <v>143</v>
      </c>
      <c r="E43" s="28" t="s">
        <v>84</v>
      </c>
      <c r="F43" s="28" t="s">
        <v>93</v>
      </c>
      <c r="G43" s="28" t="s">
        <v>50</v>
      </c>
      <c r="H43" s="28" t="s">
        <v>123</v>
      </c>
      <c r="I43" s="28" t="s">
        <v>133</v>
      </c>
      <c r="J43" s="39">
        <v>4</v>
      </c>
      <c r="K43" s="29">
        <v>0</v>
      </c>
      <c r="L43" s="20">
        <v>1718367.44</v>
      </c>
      <c r="M43" s="20">
        <v>0</v>
      </c>
      <c r="N43" s="21">
        <f t="shared" si="8"/>
        <v>1718367.44</v>
      </c>
      <c r="O43" s="21"/>
      <c r="P43" s="21"/>
      <c r="Q43" s="21"/>
      <c r="R43" s="21">
        <f t="shared" si="9"/>
        <v>1718367.44</v>
      </c>
      <c r="S43" s="29">
        <v>1718367.44</v>
      </c>
      <c r="T43" s="23">
        <f t="shared" si="10"/>
        <v>1</v>
      </c>
      <c r="U43" s="41">
        <v>0</v>
      </c>
      <c r="V43" s="23">
        <f t="shared" si="11"/>
        <v>0</v>
      </c>
      <c r="W43" s="20">
        <v>0</v>
      </c>
      <c r="X43" s="23">
        <f t="shared" si="12"/>
        <v>0</v>
      </c>
      <c r="Y43" s="5"/>
      <c r="Z43" s="5"/>
      <c r="AA43" s="5"/>
    </row>
    <row r="44" spans="1:27" ht="54" customHeight="1" x14ac:dyDescent="0.2">
      <c r="A44" s="17" t="s">
        <v>81</v>
      </c>
      <c r="B44" s="28" t="s">
        <v>82</v>
      </c>
      <c r="C44" s="28" t="s">
        <v>47</v>
      </c>
      <c r="D44" s="28" t="s">
        <v>124</v>
      </c>
      <c r="E44" s="28" t="s">
        <v>84</v>
      </c>
      <c r="F44" s="28" t="s">
        <v>93</v>
      </c>
      <c r="G44" s="28" t="s">
        <v>50</v>
      </c>
      <c r="H44" s="28" t="s">
        <v>123</v>
      </c>
      <c r="I44" s="28" t="s">
        <v>133</v>
      </c>
      <c r="J44" s="39">
        <v>4</v>
      </c>
      <c r="K44" s="29">
        <v>0</v>
      </c>
      <c r="L44" s="20">
        <v>3034594.58</v>
      </c>
      <c r="M44" s="20">
        <v>0</v>
      </c>
      <c r="N44" s="21">
        <f t="shared" si="8"/>
        <v>3034594.58</v>
      </c>
      <c r="O44" s="21"/>
      <c r="P44" s="21"/>
      <c r="Q44" s="21"/>
      <c r="R44" s="21">
        <f t="shared" si="9"/>
        <v>3034594.58</v>
      </c>
      <c r="S44" s="29">
        <v>3034594.58</v>
      </c>
      <c r="T44" s="23">
        <f t="shared" si="10"/>
        <v>1</v>
      </c>
      <c r="U44" s="41">
        <v>1910669.62</v>
      </c>
      <c r="V44" s="23">
        <f t="shared" si="11"/>
        <v>0.6296292864267885</v>
      </c>
      <c r="W44" s="20">
        <v>1910669.62</v>
      </c>
      <c r="X44" s="23">
        <f t="shared" si="12"/>
        <v>0.6296292864267885</v>
      </c>
      <c r="Y44" s="5"/>
      <c r="Z44" s="5"/>
      <c r="AA44" s="5"/>
    </row>
    <row r="45" spans="1:27" ht="54" customHeight="1" x14ac:dyDescent="0.2">
      <c r="A45" s="17" t="s">
        <v>81</v>
      </c>
      <c r="B45" s="28" t="s">
        <v>82</v>
      </c>
      <c r="C45" s="28" t="s">
        <v>47</v>
      </c>
      <c r="D45" s="28" t="s">
        <v>124</v>
      </c>
      <c r="E45" s="28" t="s">
        <v>84</v>
      </c>
      <c r="F45" s="28" t="s">
        <v>93</v>
      </c>
      <c r="G45" s="28" t="s">
        <v>50</v>
      </c>
      <c r="H45" s="28" t="s">
        <v>135</v>
      </c>
      <c r="I45" s="28" t="s">
        <v>133</v>
      </c>
      <c r="J45" s="39">
        <v>4</v>
      </c>
      <c r="K45" s="29">
        <v>0</v>
      </c>
      <c r="L45" s="20">
        <v>211303.86</v>
      </c>
      <c r="M45" s="20">
        <v>0</v>
      </c>
      <c r="N45" s="21">
        <f t="shared" si="8"/>
        <v>211303.86</v>
      </c>
      <c r="O45" s="21"/>
      <c r="P45" s="21"/>
      <c r="Q45" s="21"/>
      <c r="R45" s="21">
        <f t="shared" si="9"/>
        <v>211303.86</v>
      </c>
      <c r="S45" s="29">
        <v>211303.86</v>
      </c>
      <c r="T45" s="23">
        <f t="shared" si="10"/>
        <v>1</v>
      </c>
      <c r="U45" s="41">
        <v>114309.14</v>
      </c>
      <c r="V45" s="23">
        <f t="shared" si="11"/>
        <v>0.54097042997700096</v>
      </c>
      <c r="W45" s="20">
        <v>114309.14</v>
      </c>
      <c r="X45" s="23">
        <f t="shared" si="12"/>
        <v>0.54097042997700096</v>
      </c>
      <c r="Y45" s="5"/>
      <c r="Z45" s="5"/>
      <c r="AA45" s="5"/>
    </row>
    <row r="46" spans="1:27" ht="54" customHeight="1" x14ac:dyDescent="0.2">
      <c r="A46" s="17" t="s">
        <v>81</v>
      </c>
      <c r="B46" s="28" t="s">
        <v>82</v>
      </c>
      <c r="C46" s="28" t="s">
        <v>47</v>
      </c>
      <c r="D46" s="28" t="s">
        <v>125</v>
      </c>
      <c r="E46" s="28" t="s">
        <v>84</v>
      </c>
      <c r="F46" s="28" t="s">
        <v>93</v>
      </c>
      <c r="G46" s="28" t="s">
        <v>50</v>
      </c>
      <c r="H46" s="28" t="s">
        <v>123</v>
      </c>
      <c r="I46" s="28" t="s">
        <v>133</v>
      </c>
      <c r="J46" s="39">
        <v>4</v>
      </c>
      <c r="K46" s="29">
        <v>0</v>
      </c>
      <c r="L46" s="20">
        <v>6430080.5599999996</v>
      </c>
      <c r="M46" s="20">
        <v>0</v>
      </c>
      <c r="N46" s="21">
        <f t="shared" si="8"/>
        <v>6430080.5599999996</v>
      </c>
      <c r="O46" s="21"/>
      <c r="P46" s="21"/>
      <c r="Q46" s="21"/>
      <c r="R46" s="21">
        <f t="shared" si="9"/>
        <v>6430080.5599999996</v>
      </c>
      <c r="S46" s="29">
        <v>147314.68</v>
      </c>
      <c r="T46" s="23">
        <f t="shared" si="10"/>
        <v>2.2910238623822157E-2</v>
      </c>
      <c r="U46" s="41">
        <v>147314.68</v>
      </c>
      <c r="V46" s="23">
        <f t="shared" si="11"/>
        <v>2.2910238623822157E-2</v>
      </c>
      <c r="W46" s="20">
        <v>147314.68</v>
      </c>
      <c r="X46" s="23">
        <f t="shared" si="12"/>
        <v>2.2910238623822157E-2</v>
      </c>
      <c r="Y46" s="5"/>
      <c r="Z46" s="5"/>
      <c r="AA46" s="5"/>
    </row>
    <row r="47" spans="1:27" ht="54" customHeight="1" x14ac:dyDescent="0.2">
      <c r="A47" s="17" t="s">
        <v>81</v>
      </c>
      <c r="B47" s="28" t="s">
        <v>82</v>
      </c>
      <c r="C47" s="28" t="s">
        <v>47</v>
      </c>
      <c r="D47" s="28" t="s">
        <v>140</v>
      </c>
      <c r="E47" s="28" t="s">
        <v>84</v>
      </c>
      <c r="F47" s="28" t="s">
        <v>93</v>
      </c>
      <c r="G47" s="28" t="s">
        <v>50</v>
      </c>
      <c r="H47" s="28" t="s">
        <v>135</v>
      </c>
      <c r="I47" s="28" t="s">
        <v>133</v>
      </c>
      <c r="J47" s="39">
        <v>4</v>
      </c>
      <c r="K47" s="29">
        <v>0</v>
      </c>
      <c r="L47" s="20">
        <v>7450000</v>
      </c>
      <c r="M47" s="20">
        <v>0</v>
      </c>
      <c r="N47" s="21">
        <f t="shared" si="8"/>
        <v>7450000</v>
      </c>
      <c r="O47" s="21"/>
      <c r="P47" s="21"/>
      <c r="Q47" s="21"/>
      <c r="R47" s="21">
        <f t="shared" si="9"/>
        <v>7450000</v>
      </c>
      <c r="S47" s="29">
        <v>0</v>
      </c>
      <c r="T47" s="23">
        <f t="shared" si="10"/>
        <v>0</v>
      </c>
      <c r="U47" s="41">
        <v>0</v>
      </c>
      <c r="V47" s="23">
        <f t="shared" si="11"/>
        <v>0</v>
      </c>
      <c r="W47" s="20">
        <v>0</v>
      </c>
      <c r="X47" s="23">
        <f t="shared" si="12"/>
        <v>0</v>
      </c>
      <c r="Y47" s="5"/>
      <c r="Z47" s="5"/>
      <c r="AA47" s="5"/>
    </row>
    <row r="48" spans="1:27" ht="54" customHeight="1" x14ac:dyDescent="0.2">
      <c r="A48" s="17" t="s">
        <v>81</v>
      </c>
      <c r="B48" s="28" t="s">
        <v>82</v>
      </c>
      <c r="C48" s="28" t="s">
        <v>47</v>
      </c>
      <c r="D48" s="28" t="s">
        <v>94</v>
      </c>
      <c r="E48" s="28" t="s">
        <v>84</v>
      </c>
      <c r="F48" s="28" t="s">
        <v>95</v>
      </c>
      <c r="G48" s="28" t="s">
        <v>50</v>
      </c>
      <c r="H48" s="28" t="s">
        <v>123</v>
      </c>
      <c r="I48" s="28" t="s">
        <v>133</v>
      </c>
      <c r="J48" s="39">
        <v>4</v>
      </c>
      <c r="K48" s="29">
        <v>100000</v>
      </c>
      <c r="L48" s="20">
        <v>0</v>
      </c>
      <c r="M48" s="20">
        <v>0</v>
      </c>
      <c r="N48" s="21">
        <f t="shared" si="8"/>
        <v>100000</v>
      </c>
      <c r="O48" s="21"/>
      <c r="P48" s="21"/>
      <c r="Q48" s="21"/>
      <c r="R48" s="21">
        <f t="shared" si="9"/>
        <v>100000</v>
      </c>
      <c r="S48" s="29">
        <v>64458</v>
      </c>
      <c r="T48" s="23">
        <f t="shared" si="10"/>
        <v>0.64458000000000004</v>
      </c>
      <c r="U48" s="41">
        <v>0</v>
      </c>
      <c r="V48" s="23">
        <f t="shared" si="11"/>
        <v>0</v>
      </c>
      <c r="W48" s="20">
        <v>0</v>
      </c>
      <c r="X48" s="23">
        <f t="shared" si="12"/>
        <v>0</v>
      </c>
      <c r="Y48" s="5"/>
      <c r="Z48" s="5"/>
      <c r="AA48" s="5"/>
    </row>
    <row r="49" spans="1:27" ht="54" customHeight="1" x14ac:dyDescent="0.2">
      <c r="A49" s="17" t="s">
        <v>81</v>
      </c>
      <c r="B49" s="28" t="s">
        <v>82</v>
      </c>
      <c r="C49" s="28" t="s">
        <v>47</v>
      </c>
      <c r="D49" s="28" t="s">
        <v>48</v>
      </c>
      <c r="E49" s="28" t="s">
        <v>84</v>
      </c>
      <c r="F49" s="28" t="s">
        <v>96</v>
      </c>
      <c r="G49" s="28" t="s">
        <v>50</v>
      </c>
      <c r="H49" s="28" t="s">
        <v>123</v>
      </c>
      <c r="I49" s="28" t="s">
        <v>133</v>
      </c>
      <c r="J49" s="65">
        <v>3</v>
      </c>
      <c r="K49" s="29">
        <f>54800000-K50</f>
        <v>53000000</v>
      </c>
      <c r="L49" s="20">
        <f>15548680.94-L50</f>
        <v>15123680.939999999</v>
      </c>
      <c r="M49" s="20">
        <f>4415233.08-M50</f>
        <v>3865880.92</v>
      </c>
      <c r="N49" s="21">
        <f t="shared" si="8"/>
        <v>64257800.019999996</v>
      </c>
      <c r="O49" s="21"/>
      <c r="P49" s="21"/>
      <c r="Q49" s="21"/>
      <c r="R49" s="21">
        <f t="shared" si="9"/>
        <v>64257800.019999996</v>
      </c>
      <c r="S49" s="29">
        <f>47959597.94-S50</f>
        <v>46978874.169999994</v>
      </c>
      <c r="T49" s="23">
        <f t="shared" si="10"/>
        <v>0.73109994670496026</v>
      </c>
      <c r="U49" s="46">
        <f>27770105.24-U50</f>
        <v>26808416.469999999</v>
      </c>
      <c r="V49" s="23">
        <f t="shared" si="11"/>
        <v>0.41720096955787439</v>
      </c>
      <c r="W49" s="20">
        <f>27583221.22-W50</f>
        <v>26621532.449999999</v>
      </c>
      <c r="X49" s="23">
        <f t="shared" si="12"/>
        <v>0.41429262193405547</v>
      </c>
      <c r="Y49" s="5"/>
      <c r="Z49" s="5"/>
      <c r="AA49" s="5"/>
    </row>
    <row r="50" spans="1:27" ht="54" customHeight="1" x14ac:dyDescent="0.2">
      <c r="A50" s="17" t="s">
        <v>81</v>
      </c>
      <c r="B50" s="28" t="s">
        <v>82</v>
      </c>
      <c r="C50" s="28" t="s">
        <v>47</v>
      </c>
      <c r="D50" s="28" t="s">
        <v>48</v>
      </c>
      <c r="E50" s="28" t="s">
        <v>84</v>
      </c>
      <c r="F50" s="28" t="s">
        <v>96</v>
      </c>
      <c r="G50" s="28" t="s">
        <v>50</v>
      </c>
      <c r="H50" s="28" t="s">
        <v>123</v>
      </c>
      <c r="I50" s="28" t="s">
        <v>133</v>
      </c>
      <c r="J50" s="39">
        <v>4</v>
      </c>
      <c r="K50" s="29">
        <v>1800000</v>
      </c>
      <c r="L50" s="20">
        <f>425000</f>
        <v>425000</v>
      </c>
      <c r="M50" s="20">
        <f>549352.16</f>
        <v>549352.16</v>
      </c>
      <c r="N50" s="21">
        <f t="shared" si="8"/>
        <v>1675647.8399999999</v>
      </c>
      <c r="O50" s="21"/>
      <c r="P50" s="21"/>
      <c r="Q50" s="21"/>
      <c r="R50" s="21">
        <f t="shared" si="9"/>
        <v>1675647.8399999999</v>
      </c>
      <c r="S50" s="20">
        <f>13539+349149.77+599000+19035</f>
        <v>980723.77</v>
      </c>
      <c r="T50" s="23">
        <f t="shared" si="10"/>
        <v>0.58528035938625389</v>
      </c>
      <c r="U50" s="41">
        <f>13539+349149.77+599000</f>
        <v>961688.77</v>
      </c>
      <c r="V50" s="23">
        <f t="shared" si="11"/>
        <v>0.57392057390770135</v>
      </c>
      <c r="W50" s="20">
        <f>13539+349149.77+599000</f>
        <v>961688.77</v>
      </c>
      <c r="X50" s="23">
        <f t="shared" si="12"/>
        <v>0.57392057390770135</v>
      </c>
      <c r="Y50" s="5"/>
      <c r="Z50" s="5"/>
      <c r="AA50" s="5"/>
    </row>
    <row r="51" spans="1:27" ht="45" x14ac:dyDescent="0.2">
      <c r="A51" s="17" t="s">
        <v>81</v>
      </c>
      <c r="B51" s="28" t="s">
        <v>82</v>
      </c>
      <c r="C51" s="28" t="s">
        <v>47</v>
      </c>
      <c r="D51" s="28" t="s">
        <v>48</v>
      </c>
      <c r="E51" s="28" t="s">
        <v>84</v>
      </c>
      <c r="F51" s="28" t="s">
        <v>96</v>
      </c>
      <c r="G51" s="28" t="s">
        <v>50</v>
      </c>
      <c r="H51" s="28" t="s">
        <v>135</v>
      </c>
      <c r="I51" s="28" t="s">
        <v>133</v>
      </c>
      <c r="J51" s="65">
        <v>3</v>
      </c>
      <c r="K51" s="29">
        <v>0</v>
      </c>
      <c r="L51" s="30">
        <f>18390209.86-L52</f>
        <v>17508368.859999999</v>
      </c>
      <c r="M51" s="30">
        <v>231000</v>
      </c>
      <c r="N51" s="31">
        <f t="shared" si="8"/>
        <v>17277368.859999999</v>
      </c>
      <c r="O51" s="31"/>
      <c r="P51" s="31"/>
      <c r="Q51" s="31"/>
      <c r="R51" s="31">
        <f t="shared" si="9"/>
        <v>17277368.859999999</v>
      </c>
      <c r="S51" s="30">
        <f>13789790.33-S52</f>
        <v>13156663.33</v>
      </c>
      <c r="T51" s="33">
        <f t="shared" si="10"/>
        <v>0.7614969291105359</v>
      </c>
      <c r="U51" s="46">
        <f>3958347.84-U52</f>
        <v>3520513.84</v>
      </c>
      <c r="V51" s="33">
        <f t="shared" si="11"/>
        <v>0.203764466020667</v>
      </c>
      <c r="W51" s="30">
        <f>3865955.84-W52</f>
        <v>3428121.84</v>
      </c>
      <c r="X51" s="33">
        <f t="shared" si="12"/>
        <v>0.19841689251288</v>
      </c>
      <c r="Y51" s="5"/>
      <c r="Z51" s="5"/>
      <c r="AA51" s="5"/>
    </row>
    <row r="52" spans="1:27" ht="54" customHeight="1" x14ac:dyDescent="0.2">
      <c r="A52" s="17" t="s">
        <v>81</v>
      </c>
      <c r="B52" s="28" t="s">
        <v>82</v>
      </c>
      <c r="C52" s="28" t="s">
        <v>47</v>
      </c>
      <c r="D52" s="28" t="s">
        <v>48</v>
      </c>
      <c r="E52" s="28" t="s">
        <v>84</v>
      </c>
      <c r="F52" s="28" t="s">
        <v>96</v>
      </c>
      <c r="G52" s="28" t="s">
        <v>50</v>
      </c>
      <c r="H52" s="28" t="s">
        <v>135</v>
      </c>
      <c r="I52" s="28" t="s">
        <v>133</v>
      </c>
      <c r="J52" s="39">
        <v>4</v>
      </c>
      <c r="K52" s="29">
        <v>0</v>
      </c>
      <c r="L52" s="30">
        <f>881841</f>
        <v>881841</v>
      </c>
      <c r="M52" s="30">
        <v>0</v>
      </c>
      <c r="N52" s="31">
        <f t="shared" si="8"/>
        <v>881841</v>
      </c>
      <c r="O52" s="31"/>
      <c r="P52" s="31"/>
      <c r="Q52" s="31"/>
      <c r="R52" s="31">
        <f t="shared" si="9"/>
        <v>881841</v>
      </c>
      <c r="S52" s="30">
        <f>295037+204700+32550+100840</f>
        <v>633127</v>
      </c>
      <c r="T52" s="33">
        <f t="shared" si="10"/>
        <v>0.71796049401195905</v>
      </c>
      <c r="U52" s="41">
        <f>99744+204700+32550+100840</f>
        <v>437834</v>
      </c>
      <c r="V52" s="33">
        <f t="shared" si="11"/>
        <v>0.49649993592949299</v>
      </c>
      <c r="W52" s="30">
        <f>99744+204700+32550+100840</f>
        <v>437834</v>
      </c>
      <c r="X52" s="33">
        <f t="shared" si="12"/>
        <v>0.49649993592949299</v>
      </c>
      <c r="Y52" s="5"/>
      <c r="Z52" s="5"/>
      <c r="AA52" s="5"/>
    </row>
    <row r="53" spans="1:27" ht="54" customHeight="1" x14ac:dyDescent="0.2">
      <c r="A53" s="17" t="s">
        <v>81</v>
      </c>
      <c r="B53" s="28" t="s">
        <v>82</v>
      </c>
      <c r="C53" s="28" t="s">
        <v>47</v>
      </c>
      <c r="D53" s="28" t="s">
        <v>52</v>
      </c>
      <c r="E53" s="28" t="s">
        <v>84</v>
      </c>
      <c r="F53" s="28" t="s">
        <v>97</v>
      </c>
      <c r="G53" s="28" t="s">
        <v>50</v>
      </c>
      <c r="H53" s="28" t="s">
        <v>123</v>
      </c>
      <c r="I53" s="28" t="s">
        <v>133</v>
      </c>
      <c r="J53" s="65">
        <v>3</v>
      </c>
      <c r="K53" s="29">
        <v>65000</v>
      </c>
      <c r="L53" s="30">
        <v>0</v>
      </c>
      <c r="M53" s="30">
        <v>52874.8</v>
      </c>
      <c r="N53" s="31">
        <f t="shared" si="8"/>
        <v>12125.199999999997</v>
      </c>
      <c r="O53" s="31"/>
      <c r="P53" s="31"/>
      <c r="Q53" s="31"/>
      <c r="R53" s="31">
        <f t="shared" si="9"/>
        <v>12125.199999999997</v>
      </c>
      <c r="S53" s="30">
        <v>0</v>
      </c>
      <c r="T53" s="33">
        <f t="shared" si="10"/>
        <v>0</v>
      </c>
      <c r="U53" s="46">
        <v>0</v>
      </c>
      <c r="V53" s="33">
        <f t="shared" si="11"/>
        <v>0</v>
      </c>
      <c r="W53" s="30">
        <v>0</v>
      </c>
      <c r="X53" s="33">
        <f t="shared" si="12"/>
        <v>0</v>
      </c>
      <c r="Y53" s="5"/>
      <c r="Z53" s="5"/>
      <c r="AA53" s="5"/>
    </row>
    <row r="54" spans="1:27" ht="45" x14ac:dyDescent="0.2">
      <c r="A54" s="17" t="s">
        <v>81</v>
      </c>
      <c r="B54" s="28" t="s">
        <v>82</v>
      </c>
      <c r="C54" s="28" t="s">
        <v>47</v>
      </c>
      <c r="D54" s="28" t="s">
        <v>52</v>
      </c>
      <c r="E54" s="28" t="s">
        <v>84</v>
      </c>
      <c r="F54" s="28" t="s">
        <v>97</v>
      </c>
      <c r="G54" s="28" t="s">
        <v>50</v>
      </c>
      <c r="H54" s="28" t="s">
        <v>135</v>
      </c>
      <c r="I54" s="28" t="s">
        <v>133</v>
      </c>
      <c r="J54" s="65">
        <v>3</v>
      </c>
      <c r="K54" s="29">
        <v>0</v>
      </c>
      <c r="L54" s="30">
        <v>6600000</v>
      </c>
      <c r="M54" s="30">
        <v>0</v>
      </c>
      <c r="N54" s="31">
        <f t="shared" si="8"/>
        <v>6600000</v>
      </c>
      <c r="O54" s="31"/>
      <c r="P54" s="31"/>
      <c r="Q54" s="31"/>
      <c r="R54" s="31">
        <f t="shared" si="9"/>
        <v>6600000</v>
      </c>
      <c r="S54" s="32">
        <v>6424246.9500000002</v>
      </c>
      <c r="T54" s="33">
        <f t="shared" si="10"/>
        <v>0.97337075000000006</v>
      </c>
      <c r="U54" s="46">
        <v>6424246.9500000002</v>
      </c>
      <c r="V54" s="33">
        <f t="shared" si="11"/>
        <v>0.97337075000000006</v>
      </c>
      <c r="W54" s="30">
        <v>6424246.9500000002</v>
      </c>
      <c r="X54" s="33">
        <f t="shared" si="12"/>
        <v>0.97337075000000006</v>
      </c>
      <c r="Y54" s="5"/>
      <c r="Z54" s="5"/>
      <c r="AA54" s="5"/>
    </row>
    <row r="55" spans="1:27" ht="63" x14ac:dyDescent="0.2">
      <c r="A55" s="17" t="s">
        <v>81</v>
      </c>
      <c r="B55" s="28" t="s">
        <v>82</v>
      </c>
      <c r="C55" s="28" t="s">
        <v>47</v>
      </c>
      <c r="D55" s="28" t="s">
        <v>98</v>
      </c>
      <c r="E55" s="28" t="s">
        <v>60</v>
      </c>
      <c r="F55" s="28" t="s">
        <v>99</v>
      </c>
      <c r="G55" s="28" t="s">
        <v>50</v>
      </c>
      <c r="H55" s="28" t="s">
        <v>123</v>
      </c>
      <c r="I55" s="28" t="s">
        <v>133</v>
      </c>
      <c r="J55" s="39">
        <v>4</v>
      </c>
      <c r="K55" s="29">
        <v>5000000</v>
      </c>
      <c r="L55" s="30">
        <v>0</v>
      </c>
      <c r="M55" s="30">
        <v>5000000</v>
      </c>
      <c r="N55" s="31">
        <f t="shared" si="8"/>
        <v>0</v>
      </c>
      <c r="O55" s="31"/>
      <c r="P55" s="31"/>
      <c r="Q55" s="31"/>
      <c r="R55" s="31">
        <f t="shared" si="9"/>
        <v>0</v>
      </c>
      <c r="S55" s="32">
        <v>0</v>
      </c>
      <c r="T55" s="33">
        <f t="shared" si="10"/>
        <v>0</v>
      </c>
      <c r="U55" s="41">
        <v>0</v>
      </c>
      <c r="V55" s="33">
        <f t="shared" si="11"/>
        <v>0</v>
      </c>
      <c r="W55" s="30">
        <v>0</v>
      </c>
      <c r="X55" s="33">
        <f t="shared" si="12"/>
        <v>0</v>
      </c>
      <c r="Y55" s="5"/>
      <c r="Z55" s="5"/>
      <c r="AA55" s="5"/>
    </row>
    <row r="56" spans="1:27" ht="63" x14ac:dyDescent="0.2">
      <c r="A56" s="17" t="s">
        <v>81</v>
      </c>
      <c r="B56" s="28" t="s">
        <v>82</v>
      </c>
      <c r="C56" s="28" t="s">
        <v>47</v>
      </c>
      <c r="D56" s="28" t="s">
        <v>127</v>
      </c>
      <c r="E56" s="28" t="s">
        <v>60</v>
      </c>
      <c r="F56" s="28" t="s">
        <v>99</v>
      </c>
      <c r="G56" s="28" t="s">
        <v>50</v>
      </c>
      <c r="H56" s="28" t="s">
        <v>135</v>
      </c>
      <c r="I56" s="28" t="s">
        <v>133</v>
      </c>
      <c r="J56" s="39">
        <v>4</v>
      </c>
      <c r="K56" s="29">
        <v>0</v>
      </c>
      <c r="L56" s="30">
        <v>6700000</v>
      </c>
      <c r="M56" s="30">
        <v>0</v>
      </c>
      <c r="N56" s="31">
        <f t="shared" si="8"/>
        <v>6700000</v>
      </c>
      <c r="O56" s="31"/>
      <c r="P56" s="31"/>
      <c r="Q56" s="31"/>
      <c r="R56" s="31">
        <f t="shared" si="9"/>
        <v>6700000</v>
      </c>
      <c r="S56" s="32">
        <v>6682415.0300000003</v>
      </c>
      <c r="T56" s="33">
        <f t="shared" si="10"/>
        <v>0.99737537761194028</v>
      </c>
      <c r="U56" s="41">
        <v>0</v>
      </c>
      <c r="V56" s="33">
        <f t="shared" si="11"/>
        <v>0</v>
      </c>
      <c r="W56" s="30">
        <v>0</v>
      </c>
      <c r="X56" s="33">
        <f t="shared" si="12"/>
        <v>0</v>
      </c>
      <c r="Y56" s="5"/>
      <c r="Z56" s="5"/>
      <c r="AA56" s="5"/>
    </row>
    <row r="57" spans="1:27" ht="63" x14ac:dyDescent="0.2">
      <c r="A57" s="17" t="s">
        <v>81</v>
      </c>
      <c r="B57" s="28" t="s">
        <v>82</v>
      </c>
      <c r="C57" s="28" t="s">
        <v>47</v>
      </c>
      <c r="D57" s="28" t="s">
        <v>100</v>
      </c>
      <c r="E57" s="28" t="s">
        <v>60</v>
      </c>
      <c r="F57" s="28" t="s">
        <v>101</v>
      </c>
      <c r="G57" s="28" t="s">
        <v>50</v>
      </c>
      <c r="H57" s="28" t="s">
        <v>123</v>
      </c>
      <c r="I57" s="28" t="s">
        <v>133</v>
      </c>
      <c r="J57" s="39">
        <v>4</v>
      </c>
      <c r="K57" s="29">
        <v>100000</v>
      </c>
      <c r="L57" s="30">
        <v>0</v>
      </c>
      <c r="M57" s="30">
        <v>0</v>
      </c>
      <c r="N57" s="31">
        <f t="shared" si="8"/>
        <v>100000</v>
      </c>
      <c r="O57" s="31"/>
      <c r="P57" s="31"/>
      <c r="Q57" s="31"/>
      <c r="R57" s="31">
        <f t="shared" si="9"/>
        <v>100000</v>
      </c>
      <c r="S57" s="32">
        <v>0</v>
      </c>
      <c r="T57" s="33">
        <f t="shared" si="10"/>
        <v>0</v>
      </c>
      <c r="U57" s="41">
        <v>0</v>
      </c>
      <c r="V57" s="33">
        <f t="shared" si="11"/>
        <v>0</v>
      </c>
      <c r="W57" s="30">
        <v>0</v>
      </c>
      <c r="X57" s="33">
        <f t="shared" si="12"/>
        <v>0</v>
      </c>
      <c r="Y57" s="5"/>
      <c r="Z57" s="5"/>
      <c r="AA57" s="5"/>
    </row>
    <row r="58" spans="1:27" ht="54" hidden="1" customHeight="1" x14ac:dyDescent="0.2">
      <c r="A58" s="17" t="s">
        <v>81</v>
      </c>
      <c r="B58" s="28" t="s">
        <v>82</v>
      </c>
      <c r="C58" s="28" t="s">
        <v>47</v>
      </c>
      <c r="D58" s="28" t="s">
        <v>102</v>
      </c>
      <c r="E58" s="28" t="s">
        <v>60</v>
      </c>
      <c r="F58" s="28" t="s">
        <v>103</v>
      </c>
      <c r="G58" s="28" t="s">
        <v>50</v>
      </c>
      <c r="H58" s="28" t="s">
        <v>88</v>
      </c>
      <c r="I58" s="28" t="s">
        <v>133</v>
      </c>
      <c r="J58" s="19">
        <v>3</v>
      </c>
      <c r="K58" s="29"/>
      <c r="L58" s="30"/>
      <c r="M58" s="30"/>
      <c r="N58" s="31">
        <f t="shared" si="8"/>
        <v>0</v>
      </c>
      <c r="O58" s="31"/>
      <c r="P58" s="31"/>
      <c r="Q58" s="31"/>
      <c r="R58" s="31">
        <f t="shared" si="9"/>
        <v>0</v>
      </c>
      <c r="S58" s="32"/>
      <c r="T58" s="33">
        <f t="shared" si="10"/>
        <v>0</v>
      </c>
      <c r="U58" s="24"/>
      <c r="V58" s="33">
        <f t="shared" si="11"/>
        <v>0</v>
      </c>
      <c r="W58" s="30"/>
      <c r="X58" s="33">
        <f t="shared" si="12"/>
        <v>0</v>
      </c>
      <c r="Y58" s="5"/>
      <c r="Z58" s="5"/>
      <c r="AA58" s="5"/>
    </row>
    <row r="59" spans="1:27" ht="63" x14ac:dyDescent="0.2">
      <c r="A59" s="17" t="s">
        <v>81</v>
      </c>
      <c r="B59" s="28" t="s">
        <v>82</v>
      </c>
      <c r="C59" s="28" t="s">
        <v>47</v>
      </c>
      <c r="D59" s="28" t="s">
        <v>104</v>
      </c>
      <c r="E59" s="28" t="s">
        <v>60</v>
      </c>
      <c r="F59" s="28" t="s">
        <v>103</v>
      </c>
      <c r="G59" s="28" t="s">
        <v>50</v>
      </c>
      <c r="H59" s="28" t="s">
        <v>123</v>
      </c>
      <c r="I59" s="28" t="s">
        <v>133</v>
      </c>
      <c r="J59" s="39">
        <v>4</v>
      </c>
      <c r="K59" s="29">
        <v>280000</v>
      </c>
      <c r="L59" s="30">
        <v>0</v>
      </c>
      <c r="M59" s="30">
        <v>49950</v>
      </c>
      <c r="N59" s="31">
        <f t="shared" si="8"/>
        <v>230050</v>
      </c>
      <c r="O59" s="31"/>
      <c r="P59" s="31"/>
      <c r="Q59" s="31"/>
      <c r="R59" s="31">
        <f t="shared" si="9"/>
        <v>230050</v>
      </c>
      <c r="S59" s="32">
        <v>0</v>
      </c>
      <c r="T59" s="33">
        <f t="shared" si="10"/>
        <v>0</v>
      </c>
      <c r="U59" s="41">
        <v>0</v>
      </c>
      <c r="V59" s="33">
        <f t="shared" si="11"/>
        <v>0</v>
      </c>
      <c r="W59" s="30">
        <v>0</v>
      </c>
      <c r="X59" s="33">
        <f t="shared" si="12"/>
        <v>0</v>
      </c>
      <c r="Y59" s="5"/>
      <c r="Z59" s="5"/>
      <c r="AA59" s="5"/>
    </row>
    <row r="60" spans="1:27" ht="63" x14ac:dyDescent="0.2">
      <c r="A60" s="17" t="s">
        <v>81</v>
      </c>
      <c r="B60" s="28" t="s">
        <v>82</v>
      </c>
      <c r="C60" s="28" t="s">
        <v>47</v>
      </c>
      <c r="D60" s="28" t="s">
        <v>102</v>
      </c>
      <c r="E60" s="28" t="s">
        <v>60</v>
      </c>
      <c r="F60" s="28" t="s">
        <v>103</v>
      </c>
      <c r="G60" s="28" t="s">
        <v>50</v>
      </c>
      <c r="H60" s="28" t="s">
        <v>123</v>
      </c>
      <c r="I60" s="28" t="s">
        <v>133</v>
      </c>
      <c r="J60" s="39">
        <v>4</v>
      </c>
      <c r="K60" s="29">
        <v>0</v>
      </c>
      <c r="L60" s="30">
        <v>49950</v>
      </c>
      <c r="M60" s="30">
        <v>0</v>
      </c>
      <c r="N60" s="31">
        <f t="shared" si="8"/>
        <v>49950</v>
      </c>
      <c r="O60" s="31"/>
      <c r="P60" s="31"/>
      <c r="Q60" s="31"/>
      <c r="R60" s="31">
        <f t="shared" si="9"/>
        <v>49950</v>
      </c>
      <c r="S60" s="32">
        <v>49950</v>
      </c>
      <c r="T60" s="33">
        <f t="shared" si="10"/>
        <v>1</v>
      </c>
      <c r="U60" s="41">
        <v>49950</v>
      </c>
      <c r="V60" s="33">
        <f t="shared" si="11"/>
        <v>1</v>
      </c>
      <c r="W60" s="30">
        <v>49950</v>
      </c>
      <c r="X60" s="33">
        <f t="shared" si="12"/>
        <v>1</v>
      </c>
      <c r="Y60" s="5"/>
      <c r="Z60" s="5"/>
      <c r="AA60" s="5"/>
    </row>
    <row r="61" spans="1:27" ht="63" x14ac:dyDescent="0.2">
      <c r="A61" s="17" t="s">
        <v>81</v>
      </c>
      <c r="B61" s="28" t="s">
        <v>82</v>
      </c>
      <c r="C61" s="28" t="s">
        <v>47</v>
      </c>
      <c r="D61" s="28" t="s">
        <v>56</v>
      </c>
      <c r="E61" s="28" t="s">
        <v>60</v>
      </c>
      <c r="F61" s="28" t="s">
        <v>57</v>
      </c>
      <c r="G61" s="28" t="s">
        <v>50</v>
      </c>
      <c r="H61" s="28" t="s">
        <v>126</v>
      </c>
      <c r="I61" s="28" t="s">
        <v>136</v>
      </c>
      <c r="J61" s="65">
        <v>3</v>
      </c>
      <c r="K61" s="29">
        <v>400000</v>
      </c>
      <c r="L61" s="30">
        <v>65776</v>
      </c>
      <c r="M61" s="30">
        <v>65776</v>
      </c>
      <c r="N61" s="31">
        <f t="shared" si="8"/>
        <v>400000</v>
      </c>
      <c r="O61" s="31"/>
      <c r="P61" s="31"/>
      <c r="Q61" s="31"/>
      <c r="R61" s="31">
        <f t="shared" si="9"/>
        <v>400000</v>
      </c>
      <c r="S61" s="32">
        <v>333575.18</v>
      </c>
      <c r="T61" s="33">
        <f t="shared" si="10"/>
        <v>0.83393794999999993</v>
      </c>
      <c r="U61" s="46">
        <v>281178.38</v>
      </c>
      <c r="V61" s="33">
        <f t="shared" si="11"/>
        <v>0.70294595000000004</v>
      </c>
      <c r="W61" s="30">
        <v>278790.56</v>
      </c>
      <c r="X61" s="33">
        <f t="shared" si="12"/>
        <v>0.69697639999999994</v>
      </c>
      <c r="Y61" s="5"/>
      <c r="Z61" s="5"/>
      <c r="AA61" s="5"/>
    </row>
    <row r="62" spans="1:27" ht="63" x14ac:dyDescent="0.2">
      <c r="A62" s="17" t="s">
        <v>81</v>
      </c>
      <c r="B62" s="28" t="s">
        <v>82</v>
      </c>
      <c r="C62" s="28" t="s">
        <v>47</v>
      </c>
      <c r="D62" s="28" t="s">
        <v>56</v>
      </c>
      <c r="E62" s="28" t="s">
        <v>60</v>
      </c>
      <c r="F62" s="28" t="s">
        <v>57</v>
      </c>
      <c r="G62" s="28" t="s">
        <v>50</v>
      </c>
      <c r="H62" s="28" t="s">
        <v>137</v>
      </c>
      <c r="I62" s="28" t="s">
        <v>136</v>
      </c>
      <c r="J62" s="65">
        <v>3</v>
      </c>
      <c r="K62" s="29">
        <v>0</v>
      </c>
      <c r="L62" s="30">
        <v>2304132.66</v>
      </c>
      <c r="M62" s="30">
        <v>21377.95</v>
      </c>
      <c r="N62" s="31">
        <f t="shared" si="8"/>
        <v>2282754.71</v>
      </c>
      <c r="O62" s="31"/>
      <c r="P62" s="31"/>
      <c r="Q62" s="31"/>
      <c r="R62" s="31">
        <f t="shared" si="9"/>
        <v>2282754.71</v>
      </c>
      <c r="S62" s="32">
        <v>95605</v>
      </c>
      <c r="T62" s="33">
        <f t="shared" si="10"/>
        <v>4.1881416159688926E-2</v>
      </c>
      <c r="U62" s="46">
        <v>72225</v>
      </c>
      <c r="V62" s="33">
        <f t="shared" si="11"/>
        <v>3.1639404655964987E-2</v>
      </c>
      <c r="W62" s="30">
        <v>68191.03</v>
      </c>
      <c r="X62" s="33">
        <f t="shared" si="12"/>
        <v>2.9872254649734135E-2</v>
      </c>
      <c r="Y62" s="5"/>
      <c r="Z62" s="5"/>
      <c r="AA62" s="5"/>
    </row>
    <row r="63" spans="1:27" ht="63" x14ac:dyDescent="0.2">
      <c r="A63" s="17" t="s">
        <v>81</v>
      </c>
      <c r="B63" s="28" t="s">
        <v>82</v>
      </c>
      <c r="C63" s="28" t="s">
        <v>47</v>
      </c>
      <c r="D63" s="28" t="s">
        <v>59</v>
      </c>
      <c r="E63" s="28" t="s">
        <v>60</v>
      </c>
      <c r="F63" s="28" t="s">
        <v>61</v>
      </c>
      <c r="G63" s="28" t="s">
        <v>50</v>
      </c>
      <c r="H63" s="28" t="s">
        <v>123</v>
      </c>
      <c r="I63" s="28" t="s">
        <v>133</v>
      </c>
      <c r="J63" s="65">
        <v>3</v>
      </c>
      <c r="K63" s="29">
        <v>20000</v>
      </c>
      <c r="L63" s="20">
        <v>0</v>
      </c>
      <c r="M63" s="20">
        <v>0</v>
      </c>
      <c r="N63" s="21">
        <f t="shared" si="8"/>
        <v>20000</v>
      </c>
      <c r="O63" s="21"/>
      <c r="P63" s="21"/>
      <c r="Q63" s="21"/>
      <c r="R63" s="21">
        <f t="shared" si="9"/>
        <v>20000</v>
      </c>
      <c r="S63" s="32">
        <v>9864.94</v>
      </c>
      <c r="T63" s="23">
        <f t="shared" si="10"/>
        <v>0.49324700000000005</v>
      </c>
      <c r="U63" s="46">
        <v>9864.94</v>
      </c>
      <c r="V63" s="23">
        <f t="shared" si="11"/>
        <v>0.49324700000000005</v>
      </c>
      <c r="W63" s="20">
        <v>9864.94</v>
      </c>
      <c r="X63" s="23">
        <f t="shared" si="12"/>
        <v>0.49324700000000005</v>
      </c>
      <c r="Y63" s="5"/>
      <c r="Z63" s="5"/>
      <c r="AA63" s="5"/>
    </row>
    <row r="64" spans="1:27" ht="63" x14ac:dyDescent="0.2">
      <c r="A64" s="17" t="s">
        <v>81</v>
      </c>
      <c r="B64" s="28" t="s">
        <v>82</v>
      </c>
      <c r="C64" s="28" t="s">
        <v>47</v>
      </c>
      <c r="D64" s="28" t="s">
        <v>59</v>
      </c>
      <c r="E64" s="28" t="s">
        <v>60</v>
      </c>
      <c r="F64" s="28" t="s">
        <v>61</v>
      </c>
      <c r="G64" s="28" t="s">
        <v>50</v>
      </c>
      <c r="H64" s="28" t="s">
        <v>135</v>
      </c>
      <c r="I64" s="28" t="s">
        <v>133</v>
      </c>
      <c r="J64" s="65">
        <v>3</v>
      </c>
      <c r="K64" s="29">
        <v>0</v>
      </c>
      <c r="L64" s="30">
        <v>565000</v>
      </c>
      <c r="M64" s="30">
        <v>0</v>
      </c>
      <c r="N64" s="31">
        <f t="shared" si="8"/>
        <v>565000</v>
      </c>
      <c r="O64" s="31"/>
      <c r="P64" s="31"/>
      <c r="Q64" s="31"/>
      <c r="R64" s="31">
        <f t="shared" si="9"/>
        <v>565000</v>
      </c>
      <c r="S64" s="32">
        <v>404720.61</v>
      </c>
      <c r="T64" s="33">
        <f t="shared" si="10"/>
        <v>0.7163196637168141</v>
      </c>
      <c r="U64" s="46">
        <v>404720.61</v>
      </c>
      <c r="V64" s="33">
        <f t="shared" si="11"/>
        <v>0.7163196637168141</v>
      </c>
      <c r="W64" s="30">
        <v>404720.61</v>
      </c>
      <c r="X64" s="33">
        <f t="shared" si="12"/>
        <v>0.7163196637168141</v>
      </c>
      <c r="Y64" s="5"/>
      <c r="Z64" s="5"/>
      <c r="AA64" s="5"/>
    </row>
    <row r="65" spans="1:27" ht="63" x14ac:dyDescent="0.2">
      <c r="A65" s="17" t="s">
        <v>81</v>
      </c>
      <c r="B65" s="28" t="s">
        <v>82</v>
      </c>
      <c r="C65" s="28" t="s">
        <v>47</v>
      </c>
      <c r="D65" s="28" t="s">
        <v>105</v>
      </c>
      <c r="E65" s="28" t="s">
        <v>60</v>
      </c>
      <c r="F65" s="28" t="s">
        <v>106</v>
      </c>
      <c r="G65" s="28" t="s">
        <v>50</v>
      </c>
      <c r="H65" s="28" t="s">
        <v>123</v>
      </c>
      <c r="I65" s="28" t="s">
        <v>133</v>
      </c>
      <c r="J65" s="65">
        <v>3</v>
      </c>
      <c r="K65" s="29">
        <f>38480000-K66</f>
        <v>37980000</v>
      </c>
      <c r="L65" s="20">
        <f>5449713.98</f>
        <v>5449713.9800000004</v>
      </c>
      <c r="M65" s="20">
        <v>6284516.29</v>
      </c>
      <c r="N65" s="21">
        <f t="shared" si="8"/>
        <v>37145197.690000005</v>
      </c>
      <c r="O65" s="21"/>
      <c r="P65" s="21"/>
      <c r="Q65" s="21"/>
      <c r="R65" s="21">
        <f t="shared" si="9"/>
        <v>37145197.690000005</v>
      </c>
      <c r="S65" s="20">
        <f>34248723.14-S66</f>
        <v>33817947.950000003</v>
      </c>
      <c r="T65" s="23">
        <f t="shared" si="10"/>
        <v>0.91042584379902913</v>
      </c>
      <c r="U65" s="46">
        <f>23559386.1-U66</f>
        <v>23151325.310000002</v>
      </c>
      <c r="V65" s="23">
        <f t="shared" si="11"/>
        <v>0.62326563727597706</v>
      </c>
      <c r="W65" s="20">
        <f>23394116.57-W66</f>
        <v>22986055.780000001</v>
      </c>
      <c r="X65" s="23">
        <f t="shared" si="12"/>
        <v>0.61881635337717322</v>
      </c>
      <c r="Y65" s="5"/>
      <c r="Z65" s="5"/>
      <c r="AA65" s="5"/>
    </row>
    <row r="66" spans="1:27" ht="63" x14ac:dyDescent="0.2">
      <c r="A66" s="17" t="s">
        <v>81</v>
      </c>
      <c r="B66" s="28" t="s">
        <v>82</v>
      </c>
      <c r="C66" s="28" t="s">
        <v>47</v>
      </c>
      <c r="D66" s="28" t="s">
        <v>105</v>
      </c>
      <c r="E66" s="28" t="s">
        <v>60</v>
      </c>
      <c r="F66" s="28" t="s">
        <v>106</v>
      </c>
      <c r="G66" s="28" t="s">
        <v>50</v>
      </c>
      <c r="H66" s="28" t="s">
        <v>123</v>
      </c>
      <c r="I66" s="28" t="s">
        <v>133</v>
      </c>
      <c r="J66" s="39">
        <v>4</v>
      </c>
      <c r="K66" s="29">
        <f>500000</f>
        <v>500000</v>
      </c>
      <c r="L66" s="20">
        <v>0</v>
      </c>
      <c r="M66" s="20">
        <v>0</v>
      </c>
      <c r="N66" s="21">
        <f t="shared" si="8"/>
        <v>500000</v>
      </c>
      <c r="O66" s="21"/>
      <c r="P66" s="21"/>
      <c r="Q66" s="21"/>
      <c r="R66" s="21">
        <f t="shared" si="9"/>
        <v>500000</v>
      </c>
      <c r="S66" s="20">
        <f>10872+8850+86670.4+4280+14830+18597+37200+13216+100037.9+127121.89+9100</f>
        <v>430775.19</v>
      </c>
      <c r="T66" s="23">
        <f t="shared" si="10"/>
        <v>0.86155038000000006</v>
      </c>
      <c r="U66" s="41">
        <f>10872+86670.4+4280+14830+16047+37200+13216+97823.5+127121.89</f>
        <v>408060.79000000004</v>
      </c>
      <c r="V66" s="23">
        <f t="shared" si="11"/>
        <v>0.81612158000000012</v>
      </c>
      <c r="W66" s="20">
        <f>10872+86670.4+4280+14830+16047+37200+13216+97823.5+127121.89</f>
        <v>408060.79000000004</v>
      </c>
      <c r="X66" s="23">
        <f t="shared" si="12"/>
        <v>0.81612158000000012</v>
      </c>
      <c r="Y66" s="5"/>
      <c r="Z66" s="5"/>
      <c r="AA66" s="5"/>
    </row>
    <row r="67" spans="1:27" ht="63" x14ac:dyDescent="0.2">
      <c r="A67" s="17" t="s">
        <v>81</v>
      </c>
      <c r="B67" s="28" t="s">
        <v>82</v>
      </c>
      <c r="C67" s="28" t="s">
        <v>47</v>
      </c>
      <c r="D67" s="28" t="s">
        <v>105</v>
      </c>
      <c r="E67" s="28" t="s">
        <v>60</v>
      </c>
      <c r="F67" s="28" t="s">
        <v>106</v>
      </c>
      <c r="G67" s="28" t="s">
        <v>50</v>
      </c>
      <c r="H67" s="28" t="s">
        <v>135</v>
      </c>
      <c r="I67" s="28" t="s">
        <v>133</v>
      </c>
      <c r="J67" s="65">
        <v>3</v>
      </c>
      <c r="K67" s="29">
        <v>0</v>
      </c>
      <c r="L67" s="20">
        <f>10045575.27-L68</f>
        <v>9760808.2699999996</v>
      </c>
      <c r="M67" s="20">
        <v>155833.31</v>
      </c>
      <c r="N67" s="21">
        <f t="shared" si="8"/>
        <v>9604974.959999999</v>
      </c>
      <c r="O67" s="21"/>
      <c r="P67" s="21"/>
      <c r="Q67" s="21"/>
      <c r="R67" s="21">
        <f t="shared" si="9"/>
        <v>9604974.959999999</v>
      </c>
      <c r="S67" s="30">
        <f>2587709.44-S68</f>
        <v>2380342.44</v>
      </c>
      <c r="T67" s="23">
        <f t="shared" si="10"/>
        <v>0.24782390895478193</v>
      </c>
      <c r="U67" s="46">
        <f>1111403.81-U68</f>
        <v>1069894.81</v>
      </c>
      <c r="V67" s="23">
        <f t="shared" si="11"/>
        <v>0.11138965113970481</v>
      </c>
      <c r="W67" s="20">
        <f>1091036.87-W68</f>
        <v>1049527.8700000001</v>
      </c>
      <c r="X67" s="23">
        <f t="shared" si="12"/>
        <v>0.10926919376372848</v>
      </c>
      <c r="Y67" s="5"/>
      <c r="Z67" s="5"/>
      <c r="AA67" s="5"/>
    </row>
    <row r="68" spans="1:27" ht="63" x14ac:dyDescent="0.2">
      <c r="A68" s="17" t="s">
        <v>81</v>
      </c>
      <c r="B68" s="18" t="s">
        <v>82</v>
      </c>
      <c r="C68" s="18" t="s">
        <v>47</v>
      </c>
      <c r="D68" s="28" t="s">
        <v>105</v>
      </c>
      <c r="E68" s="28" t="s">
        <v>60</v>
      </c>
      <c r="F68" s="28" t="s">
        <v>106</v>
      </c>
      <c r="G68" s="18" t="s">
        <v>50</v>
      </c>
      <c r="H68" s="28" t="s">
        <v>135</v>
      </c>
      <c r="I68" s="28" t="s">
        <v>133</v>
      </c>
      <c r="J68" s="39">
        <v>4</v>
      </c>
      <c r="K68" s="29">
        <v>0</v>
      </c>
      <c r="L68" s="20">
        <v>284767</v>
      </c>
      <c r="M68" s="20">
        <v>0</v>
      </c>
      <c r="N68" s="21">
        <f t="shared" si="8"/>
        <v>284767</v>
      </c>
      <c r="O68" s="21"/>
      <c r="P68" s="21"/>
      <c r="Q68" s="21"/>
      <c r="R68" s="21">
        <f t="shared" si="9"/>
        <v>284767</v>
      </c>
      <c r="S68" s="30">
        <f>165858+37909+3600</f>
        <v>207367</v>
      </c>
      <c r="T68" s="23">
        <f t="shared" si="10"/>
        <v>0.72819884326484463</v>
      </c>
      <c r="U68" s="41">
        <f>37909+3600</f>
        <v>41509</v>
      </c>
      <c r="V68" s="23">
        <f t="shared" si="11"/>
        <v>0.1457647831384957</v>
      </c>
      <c r="W68" s="20">
        <f>37909+3600</f>
        <v>41509</v>
      </c>
      <c r="X68" s="23">
        <f t="shared" si="12"/>
        <v>0.1457647831384957</v>
      </c>
      <c r="Y68" s="5"/>
      <c r="Z68" s="5"/>
      <c r="AA68" s="5"/>
    </row>
    <row r="69" spans="1:27" ht="63" customHeight="1" x14ac:dyDescent="0.2">
      <c r="A69" s="17" t="s">
        <v>81</v>
      </c>
      <c r="B69" s="18" t="s">
        <v>82</v>
      </c>
      <c r="C69" s="18" t="s">
        <v>47</v>
      </c>
      <c r="D69" s="18" t="s">
        <v>105</v>
      </c>
      <c r="E69" s="28" t="s">
        <v>60</v>
      </c>
      <c r="F69" s="28" t="s">
        <v>106</v>
      </c>
      <c r="G69" s="18" t="s">
        <v>50</v>
      </c>
      <c r="H69" s="28" t="s">
        <v>137</v>
      </c>
      <c r="I69" s="28" t="s">
        <v>136</v>
      </c>
      <c r="J69" s="65">
        <v>3</v>
      </c>
      <c r="K69" s="29">
        <v>0</v>
      </c>
      <c r="L69" s="20">
        <v>773.9</v>
      </c>
      <c r="M69" s="20">
        <v>0</v>
      </c>
      <c r="N69" s="21">
        <f t="shared" si="8"/>
        <v>773.9</v>
      </c>
      <c r="O69" s="21"/>
      <c r="P69" s="21"/>
      <c r="Q69" s="21"/>
      <c r="R69" s="21">
        <f t="shared" si="9"/>
        <v>773.9</v>
      </c>
      <c r="S69" s="30">
        <v>0</v>
      </c>
      <c r="T69" s="23">
        <f t="shared" si="10"/>
        <v>0</v>
      </c>
      <c r="U69" s="46">
        <v>0</v>
      </c>
      <c r="V69" s="23">
        <f t="shared" si="11"/>
        <v>0</v>
      </c>
      <c r="W69" s="20">
        <v>0</v>
      </c>
      <c r="X69" s="23">
        <f t="shared" si="12"/>
        <v>0</v>
      </c>
      <c r="Y69" s="5"/>
      <c r="Z69" s="5"/>
      <c r="AA69" s="5"/>
    </row>
    <row r="70" spans="1:27" ht="63" customHeight="1" x14ac:dyDescent="0.2">
      <c r="A70" s="17" t="s">
        <v>81</v>
      </c>
      <c r="B70" s="18" t="s">
        <v>82</v>
      </c>
      <c r="C70" s="18" t="s">
        <v>47</v>
      </c>
      <c r="D70" s="18" t="s">
        <v>107</v>
      </c>
      <c r="E70" s="28" t="s">
        <v>60</v>
      </c>
      <c r="F70" s="18" t="s">
        <v>108</v>
      </c>
      <c r="G70" s="18" t="s">
        <v>50</v>
      </c>
      <c r="H70" s="18" t="s">
        <v>123</v>
      </c>
      <c r="I70" s="28" t="s">
        <v>133</v>
      </c>
      <c r="J70" s="65">
        <v>3</v>
      </c>
      <c r="K70" s="29">
        <v>600000</v>
      </c>
      <c r="L70" s="20">
        <v>8000</v>
      </c>
      <c r="M70" s="20">
        <v>8000</v>
      </c>
      <c r="N70" s="21">
        <f t="shared" si="8"/>
        <v>600000</v>
      </c>
      <c r="O70" s="21"/>
      <c r="P70" s="21"/>
      <c r="Q70" s="21"/>
      <c r="R70" s="21">
        <f t="shared" si="9"/>
        <v>600000</v>
      </c>
      <c r="S70" s="30">
        <v>327409.59000000003</v>
      </c>
      <c r="T70" s="23">
        <f t="shared" si="10"/>
        <v>0.54568265000000005</v>
      </c>
      <c r="U70" s="46">
        <v>327409.59000000003</v>
      </c>
      <c r="V70" s="23">
        <f t="shared" si="11"/>
        <v>0.54568265000000005</v>
      </c>
      <c r="W70" s="20">
        <v>327409.59000000003</v>
      </c>
      <c r="X70" s="23">
        <f t="shared" si="12"/>
        <v>0.54568265000000005</v>
      </c>
      <c r="Y70" s="5"/>
      <c r="Z70" s="5"/>
      <c r="AA70" s="5"/>
    </row>
    <row r="71" spans="1:27" ht="63" customHeight="1" x14ac:dyDescent="0.2">
      <c r="A71" s="17" t="s">
        <v>81</v>
      </c>
      <c r="B71" s="18" t="s">
        <v>82</v>
      </c>
      <c r="C71" s="18" t="s">
        <v>47</v>
      </c>
      <c r="D71" s="18" t="s">
        <v>138</v>
      </c>
      <c r="E71" s="28" t="s">
        <v>60</v>
      </c>
      <c r="F71" s="18" t="s">
        <v>108</v>
      </c>
      <c r="G71" s="18" t="s">
        <v>50</v>
      </c>
      <c r="H71" s="18" t="s">
        <v>135</v>
      </c>
      <c r="I71" s="28" t="s">
        <v>133</v>
      </c>
      <c r="J71" s="65">
        <v>3</v>
      </c>
      <c r="K71" s="29">
        <v>0</v>
      </c>
      <c r="L71" s="20">
        <v>360000</v>
      </c>
      <c r="M71" s="20">
        <v>0</v>
      </c>
      <c r="N71" s="21">
        <f t="shared" si="8"/>
        <v>360000</v>
      </c>
      <c r="O71" s="21"/>
      <c r="P71" s="21"/>
      <c r="Q71" s="21"/>
      <c r="R71" s="21">
        <f t="shared" si="9"/>
        <v>360000</v>
      </c>
      <c r="S71" s="30">
        <v>28832.89</v>
      </c>
      <c r="T71" s="23">
        <f t="shared" si="10"/>
        <v>8.0091361111111106E-2</v>
      </c>
      <c r="U71" s="46">
        <v>28832.89</v>
      </c>
      <c r="V71" s="23">
        <f t="shared" si="11"/>
        <v>8.0091361111111106E-2</v>
      </c>
      <c r="W71" s="20">
        <v>28832.89</v>
      </c>
      <c r="X71" s="23">
        <f t="shared" si="12"/>
        <v>8.0091361111111106E-2</v>
      </c>
      <c r="Y71" s="5"/>
      <c r="Z71" s="5"/>
      <c r="AA71" s="5"/>
    </row>
    <row r="72" spans="1:27" ht="63" customHeight="1" x14ac:dyDescent="0.2">
      <c r="A72" s="17" t="s">
        <v>81</v>
      </c>
      <c r="B72" s="18" t="s">
        <v>82</v>
      </c>
      <c r="C72" s="18" t="s">
        <v>47</v>
      </c>
      <c r="D72" s="18" t="s">
        <v>65</v>
      </c>
      <c r="E72" s="28" t="s">
        <v>60</v>
      </c>
      <c r="F72" s="18" t="s">
        <v>66</v>
      </c>
      <c r="G72" s="18" t="s">
        <v>50</v>
      </c>
      <c r="H72" s="18" t="s">
        <v>123</v>
      </c>
      <c r="I72" s="28" t="s">
        <v>133</v>
      </c>
      <c r="J72" s="65">
        <v>3</v>
      </c>
      <c r="K72" s="29">
        <v>15000</v>
      </c>
      <c r="L72" s="20">
        <v>0</v>
      </c>
      <c r="M72" s="20">
        <v>0</v>
      </c>
      <c r="N72" s="21">
        <f t="shared" si="8"/>
        <v>15000</v>
      </c>
      <c r="O72" s="21"/>
      <c r="P72" s="21"/>
      <c r="Q72" s="21"/>
      <c r="R72" s="21">
        <f t="shared" si="9"/>
        <v>15000</v>
      </c>
      <c r="S72" s="30">
        <v>0</v>
      </c>
      <c r="T72" s="23">
        <f t="shared" si="10"/>
        <v>0</v>
      </c>
      <c r="U72" s="46">
        <v>0</v>
      </c>
      <c r="V72" s="23">
        <f t="shared" si="11"/>
        <v>0</v>
      </c>
      <c r="W72" s="20">
        <v>0</v>
      </c>
      <c r="X72" s="23">
        <f t="shared" si="12"/>
        <v>0</v>
      </c>
      <c r="Y72" s="5"/>
      <c r="Z72" s="5"/>
      <c r="AA72" s="5"/>
    </row>
    <row r="73" spans="1:27" ht="63" customHeight="1" x14ac:dyDescent="0.2">
      <c r="A73" s="17" t="s">
        <v>81</v>
      </c>
      <c r="B73" s="28" t="s">
        <v>82</v>
      </c>
      <c r="C73" s="28" t="s">
        <v>47</v>
      </c>
      <c r="D73" s="28" t="s">
        <v>65</v>
      </c>
      <c r="E73" s="28" t="s">
        <v>60</v>
      </c>
      <c r="F73" s="28" t="s">
        <v>66</v>
      </c>
      <c r="G73" s="28" t="s">
        <v>50</v>
      </c>
      <c r="H73" s="28" t="s">
        <v>135</v>
      </c>
      <c r="I73" s="28" t="s">
        <v>133</v>
      </c>
      <c r="J73" s="65">
        <v>3</v>
      </c>
      <c r="K73" s="29">
        <v>0</v>
      </c>
      <c r="L73" s="30">
        <v>101000</v>
      </c>
      <c r="M73" s="30">
        <v>0</v>
      </c>
      <c r="N73" s="31">
        <f t="shared" si="8"/>
        <v>101000</v>
      </c>
      <c r="O73" s="31"/>
      <c r="P73" s="31"/>
      <c r="Q73" s="31"/>
      <c r="R73" s="31">
        <f t="shared" si="9"/>
        <v>101000</v>
      </c>
      <c r="S73" s="30">
        <v>88596.62</v>
      </c>
      <c r="T73" s="33">
        <f t="shared" si="10"/>
        <v>0.87719425742574253</v>
      </c>
      <c r="U73" s="46">
        <v>88596.62</v>
      </c>
      <c r="V73" s="33">
        <f t="shared" si="11"/>
        <v>0.87719425742574253</v>
      </c>
      <c r="W73" s="30">
        <v>88596.62</v>
      </c>
      <c r="X73" s="33">
        <f t="shared" si="12"/>
        <v>0.87719425742574253</v>
      </c>
      <c r="Y73" s="5"/>
      <c r="Z73" s="5"/>
      <c r="AA73" s="5"/>
    </row>
    <row r="74" spans="1:27" ht="63" customHeight="1" x14ac:dyDescent="0.2">
      <c r="A74" s="17" t="s">
        <v>81</v>
      </c>
      <c r="B74" s="28" t="s">
        <v>82</v>
      </c>
      <c r="C74" s="28" t="s">
        <v>109</v>
      </c>
      <c r="D74" s="28" t="s">
        <v>110</v>
      </c>
      <c r="E74" s="28" t="s">
        <v>84</v>
      </c>
      <c r="F74" s="28" t="s">
        <v>111</v>
      </c>
      <c r="G74" s="28" t="s">
        <v>50</v>
      </c>
      <c r="H74" s="28" t="s">
        <v>123</v>
      </c>
      <c r="I74" s="28" t="s">
        <v>133</v>
      </c>
      <c r="J74" s="65">
        <v>3</v>
      </c>
      <c r="K74" s="29">
        <f>21000000-K75</f>
        <v>20000000</v>
      </c>
      <c r="L74" s="30">
        <f>4839972.77-L75</f>
        <v>1699672.7699999996</v>
      </c>
      <c r="M74" s="30">
        <f>4485972.77-M75</f>
        <v>3959972.7699999996</v>
      </c>
      <c r="N74" s="31">
        <f t="shared" si="8"/>
        <v>17739700</v>
      </c>
      <c r="O74" s="31"/>
      <c r="P74" s="31"/>
      <c r="Q74" s="31"/>
      <c r="R74" s="31">
        <f t="shared" si="9"/>
        <v>17739700</v>
      </c>
      <c r="S74" s="30">
        <f>18908118.06-S75</f>
        <v>15293818.059999999</v>
      </c>
      <c r="T74" s="33">
        <f t="shared" si="10"/>
        <v>0.86212382734770032</v>
      </c>
      <c r="U74" s="46">
        <f>12603367.48-U75</f>
        <v>8989067.4800000004</v>
      </c>
      <c r="V74" s="33">
        <f t="shared" si="11"/>
        <v>0.50672037745846887</v>
      </c>
      <c r="W74" s="30">
        <f>12603367.48-W75</f>
        <v>8989067.4800000004</v>
      </c>
      <c r="X74" s="33">
        <f t="shared" si="12"/>
        <v>0.50672037745846887</v>
      </c>
      <c r="Y74" s="5"/>
      <c r="Z74" s="5"/>
      <c r="AA74" s="5"/>
    </row>
    <row r="75" spans="1:27" ht="63" customHeight="1" x14ac:dyDescent="0.2">
      <c r="A75" s="17" t="s">
        <v>81</v>
      </c>
      <c r="B75" s="18" t="s">
        <v>82</v>
      </c>
      <c r="C75" s="18" t="s">
        <v>109</v>
      </c>
      <c r="D75" s="18" t="s">
        <v>110</v>
      </c>
      <c r="E75" s="28" t="s">
        <v>84</v>
      </c>
      <c r="F75" s="18" t="s">
        <v>111</v>
      </c>
      <c r="G75" s="18" t="s">
        <v>50</v>
      </c>
      <c r="H75" s="18" t="s">
        <v>123</v>
      </c>
      <c r="I75" s="28" t="s">
        <v>133</v>
      </c>
      <c r="J75" s="39">
        <v>4</v>
      </c>
      <c r="K75" s="29">
        <f>1000000</f>
        <v>1000000</v>
      </c>
      <c r="L75" s="20">
        <f>2246300+894000</f>
        <v>3140300</v>
      </c>
      <c r="M75" s="20">
        <v>526000</v>
      </c>
      <c r="N75" s="21">
        <f t="shared" si="8"/>
        <v>3614300</v>
      </c>
      <c r="O75" s="21"/>
      <c r="P75" s="21"/>
      <c r="Q75" s="21"/>
      <c r="R75" s="21">
        <f t="shared" si="9"/>
        <v>3614300</v>
      </c>
      <c r="S75" s="30">
        <f>2246300+1368000</f>
        <v>3614300</v>
      </c>
      <c r="T75" s="23">
        <f t="shared" si="10"/>
        <v>1</v>
      </c>
      <c r="U75" s="41">
        <f>2246300+1368000</f>
        <v>3614300</v>
      </c>
      <c r="V75" s="23">
        <f t="shared" si="11"/>
        <v>1</v>
      </c>
      <c r="W75" s="20">
        <f>2246300+1368000</f>
        <v>3614300</v>
      </c>
      <c r="X75" s="23">
        <f t="shared" si="12"/>
        <v>1</v>
      </c>
      <c r="Y75" s="5"/>
      <c r="Z75" s="5"/>
      <c r="AA75" s="5"/>
    </row>
    <row r="76" spans="1:27" ht="63" customHeight="1" x14ac:dyDescent="0.2">
      <c r="A76" s="17" t="s">
        <v>81</v>
      </c>
      <c r="B76" s="18" t="s">
        <v>82</v>
      </c>
      <c r="C76" s="18" t="s">
        <v>109</v>
      </c>
      <c r="D76" s="28" t="s">
        <v>110</v>
      </c>
      <c r="E76" s="28" t="s">
        <v>84</v>
      </c>
      <c r="F76" s="18" t="s">
        <v>111</v>
      </c>
      <c r="G76" s="18" t="s">
        <v>50</v>
      </c>
      <c r="H76" s="18" t="s">
        <v>135</v>
      </c>
      <c r="I76" s="28" t="s">
        <v>133</v>
      </c>
      <c r="J76" s="65">
        <v>3</v>
      </c>
      <c r="K76" s="29">
        <v>0</v>
      </c>
      <c r="L76" s="20">
        <f>100000+1260000</f>
        <v>1360000</v>
      </c>
      <c r="M76" s="20">
        <v>0</v>
      </c>
      <c r="N76" s="21">
        <f t="shared" si="8"/>
        <v>1360000</v>
      </c>
      <c r="O76" s="21"/>
      <c r="P76" s="21"/>
      <c r="Q76" s="21"/>
      <c r="R76" s="21">
        <f t="shared" si="9"/>
        <v>1360000</v>
      </c>
      <c r="S76" s="30">
        <v>42787.09</v>
      </c>
      <c r="T76" s="23">
        <f t="shared" si="10"/>
        <v>3.1461095588235288E-2</v>
      </c>
      <c r="U76" s="46">
        <v>42787.09</v>
      </c>
      <c r="V76" s="23">
        <f t="shared" si="11"/>
        <v>3.1461095588235288E-2</v>
      </c>
      <c r="W76" s="20">
        <v>42787.09</v>
      </c>
      <c r="X76" s="23">
        <f t="shared" si="12"/>
        <v>3.1461095588235288E-2</v>
      </c>
      <c r="Y76" s="5"/>
      <c r="Z76" s="5"/>
      <c r="AA76" s="5"/>
    </row>
    <row r="77" spans="1:27" ht="63" customHeight="1" x14ac:dyDescent="0.2">
      <c r="A77" s="17" t="s">
        <v>81</v>
      </c>
      <c r="B77" s="18" t="s">
        <v>82</v>
      </c>
      <c r="C77" s="18" t="s">
        <v>109</v>
      </c>
      <c r="D77" s="28" t="s">
        <v>110</v>
      </c>
      <c r="E77" s="28" t="s">
        <v>84</v>
      </c>
      <c r="F77" s="18" t="s">
        <v>111</v>
      </c>
      <c r="G77" s="18" t="s">
        <v>50</v>
      </c>
      <c r="H77" s="18" t="s">
        <v>135</v>
      </c>
      <c r="I77" s="28" t="s">
        <v>133</v>
      </c>
      <c r="J77" s="39">
        <v>4</v>
      </c>
      <c r="K77" s="29">
        <v>0</v>
      </c>
      <c r="L77" s="20">
        <f>5602050</f>
        <v>5602050</v>
      </c>
      <c r="M77" s="20">
        <v>0</v>
      </c>
      <c r="N77" s="21">
        <f t="shared" si="8"/>
        <v>5602050</v>
      </c>
      <c r="O77" s="21"/>
      <c r="P77" s="21"/>
      <c r="Q77" s="21"/>
      <c r="R77" s="21">
        <f t="shared" si="9"/>
        <v>5602050</v>
      </c>
      <c r="S77" s="30">
        <v>5585790</v>
      </c>
      <c r="T77" s="23">
        <f t="shared" si="10"/>
        <v>0.99709749109700918</v>
      </c>
      <c r="U77" s="41">
        <v>1961250</v>
      </c>
      <c r="V77" s="23">
        <f t="shared" si="11"/>
        <v>0.35009505448898171</v>
      </c>
      <c r="W77" s="20">
        <v>1961250</v>
      </c>
      <c r="X77" s="23">
        <f t="shared" si="12"/>
        <v>0.35009505448898171</v>
      </c>
      <c r="Y77" s="5"/>
      <c r="Z77" s="5"/>
      <c r="AA77" s="5"/>
    </row>
    <row r="78" spans="1:27" ht="63" customHeight="1" x14ac:dyDescent="0.2">
      <c r="A78" s="17" t="s">
        <v>81</v>
      </c>
      <c r="B78" s="18" t="s">
        <v>82</v>
      </c>
      <c r="C78" s="18" t="s">
        <v>109</v>
      </c>
      <c r="D78" s="18" t="s">
        <v>112</v>
      </c>
      <c r="E78" s="28" t="s">
        <v>60</v>
      </c>
      <c r="F78" s="18" t="s">
        <v>113</v>
      </c>
      <c r="G78" s="18" t="s">
        <v>50</v>
      </c>
      <c r="H78" s="18" t="s">
        <v>123</v>
      </c>
      <c r="I78" s="28" t="s">
        <v>133</v>
      </c>
      <c r="J78" s="65">
        <v>3</v>
      </c>
      <c r="K78" s="29">
        <v>8000000</v>
      </c>
      <c r="L78" s="20">
        <v>175252.44</v>
      </c>
      <c r="M78" s="20">
        <f>1765449.68-M79</f>
        <v>1306197.24</v>
      </c>
      <c r="N78" s="21">
        <f t="shared" si="8"/>
        <v>6869055.2000000002</v>
      </c>
      <c r="O78" s="21"/>
      <c r="P78" s="21"/>
      <c r="Q78" s="21"/>
      <c r="R78" s="21">
        <f t="shared" si="9"/>
        <v>6869055.2000000002</v>
      </c>
      <c r="S78" s="30">
        <f>6683144.24-S79</f>
        <v>6574235.2400000002</v>
      </c>
      <c r="T78" s="23">
        <f t="shared" si="10"/>
        <v>0.95707998386735926</v>
      </c>
      <c r="U78" s="46">
        <f>2316684.51-U79</f>
        <v>2207775.5099999998</v>
      </c>
      <c r="V78" s="23">
        <f t="shared" si="11"/>
        <v>0.32140890496847363</v>
      </c>
      <c r="W78" s="20">
        <f>2316684.51-W79</f>
        <v>2207775.5099999998</v>
      </c>
      <c r="X78" s="23">
        <f t="shared" si="12"/>
        <v>0.32140890496847363</v>
      </c>
      <c r="Y78" s="5"/>
      <c r="Z78" s="5"/>
      <c r="AA78" s="5"/>
    </row>
    <row r="79" spans="1:27" ht="63" customHeight="1" x14ac:dyDescent="0.2">
      <c r="A79" s="17" t="s">
        <v>81</v>
      </c>
      <c r="B79" s="18" t="s">
        <v>82</v>
      </c>
      <c r="C79" s="18" t="s">
        <v>109</v>
      </c>
      <c r="D79" s="18" t="s">
        <v>112</v>
      </c>
      <c r="E79" s="28" t="s">
        <v>60</v>
      </c>
      <c r="F79" s="18" t="s">
        <v>113</v>
      </c>
      <c r="G79" s="18" t="s">
        <v>50</v>
      </c>
      <c r="H79" s="18" t="s">
        <v>123</v>
      </c>
      <c r="I79" s="28" t="s">
        <v>133</v>
      </c>
      <c r="J79" s="39">
        <v>4</v>
      </c>
      <c r="K79" s="29">
        <f>200000+500000</f>
        <v>700000</v>
      </c>
      <c r="L79" s="20">
        <v>0</v>
      </c>
      <c r="M79" s="20">
        <f>125252.44+334000</f>
        <v>459252.44</v>
      </c>
      <c r="N79" s="21">
        <f t="shared" si="8"/>
        <v>240747.56</v>
      </c>
      <c r="O79" s="21"/>
      <c r="P79" s="21"/>
      <c r="Q79" s="21"/>
      <c r="R79" s="21">
        <f t="shared" si="9"/>
        <v>240747.56</v>
      </c>
      <c r="S79" s="30">
        <v>108909</v>
      </c>
      <c r="T79" s="23">
        <f t="shared" si="10"/>
        <v>0.45237841662860467</v>
      </c>
      <c r="U79" s="41">
        <v>108909</v>
      </c>
      <c r="V79" s="23">
        <f t="shared" si="11"/>
        <v>0.45237841662860467</v>
      </c>
      <c r="W79" s="20">
        <v>108909</v>
      </c>
      <c r="X79" s="23">
        <f t="shared" si="12"/>
        <v>0.45237841662860467</v>
      </c>
      <c r="Y79" s="5"/>
      <c r="Z79" s="5"/>
      <c r="AA79" s="5"/>
    </row>
    <row r="80" spans="1:27" ht="63" customHeight="1" x14ac:dyDescent="0.2">
      <c r="A80" s="17" t="s">
        <v>81</v>
      </c>
      <c r="B80" s="18" t="s">
        <v>82</v>
      </c>
      <c r="C80" s="18" t="s">
        <v>109</v>
      </c>
      <c r="D80" s="18" t="s">
        <v>112</v>
      </c>
      <c r="E80" s="28" t="s">
        <v>60</v>
      </c>
      <c r="F80" s="18" t="s">
        <v>113</v>
      </c>
      <c r="G80" s="18" t="s">
        <v>50</v>
      </c>
      <c r="H80" s="18" t="s">
        <v>135</v>
      </c>
      <c r="I80" s="28" t="s">
        <v>133</v>
      </c>
      <c r="J80" s="65">
        <v>3</v>
      </c>
      <c r="K80" s="29">
        <v>0</v>
      </c>
      <c r="L80" s="20">
        <v>3536951.68</v>
      </c>
      <c r="M80" s="20">
        <v>0</v>
      </c>
      <c r="N80" s="21">
        <f t="shared" si="8"/>
        <v>3536951.68</v>
      </c>
      <c r="O80" s="21"/>
      <c r="P80" s="21"/>
      <c r="Q80" s="21"/>
      <c r="R80" s="21">
        <f t="shared" si="9"/>
        <v>3536951.68</v>
      </c>
      <c r="S80" s="30">
        <v>2529403.27</v>
      </c>
      <c r="T80" s="23">
        <f t="shared" si="10"/>
        <v>0.7151365070387391</v>
      </c>
      <c r="U80" s="46">
        <v>165997.62</v>
      </c>
      <c r="V80" s="23">
        <f t="shared" si="11"/>
        <v>4.6932396882504196E-2</v>
      </c>
      <c r="W80" s="20">
        <v>165997.62</v>
      </c>
      <c r="X80" s="23">
        <f t="shared" si="12"/>
        <v>4.6932396882504196E-2</v>
      </c>
      <c r="Y80" s="5"/>
      <c r="Z80" s="5"/>
      <c r="AA80" s="5"/>
    </row>
    <row r="81" spans="1:27" ht="63" customHeight="1" x14ac:dyDescent="0.2">
      <c r="A81" s="17" t="s">
        <v>81</v>
      </c>
      <c r="B81" s="18" t="s">
        <v>82</v>
      </c>
      <c r="C81" s="18" t="s">
        <v>70</v>
      </c>
      <c r="D81" s="18" t="s">
        <v>71</v>
      </c>
      <c r="E81" s="28" t="s">
        <v>60</v>
      </c>
      <c r="F81" s="18" t="s">
        <v>114</v>
      </c>
      <c r="G81" s="18" t="s">
        <v>50</v>
      </c>
      <c r="H81" s="18" t="s">
        <v>126</v>
      </c>
      <c r="I81" s="18" t="s">
        <v>136</v>
      </c>
      <c r="J81" s="65">
        <v>3</v>
      </c>
      <c r="K81" s="29">
        <v>998000</v>
      </c>
      <c r="L81" s="20">
        <v>579023</v>
      </c>
      <c r="M81" s="20">
        <v>579023</v>
      </c>
      <c r="N81" s="21">
        <f t="shared" si="8"/>
        <v>998000</v>
      </c>
      <c r="O81" s="21"/>
      <c r="P81" s="21"/>
      <c r="Q81" s="21"/>
      <c r="R81" s="21">
        <f t="shared" si="9"/>
        <v>998000</v>
      </c>
      <c r="S81" s="30">
        <v>898480</v>
      </c>
      <c r="T81" s="23">
        <f t="shared" si="10"/>
        <v>0.90028056112224453</v>
      </c>
      <c r="U81" s="46">
        <v>478620</v>
      </c>
      <c r="V81" s="23">
        <f t="shared" si="11"/>
        <v>0.47957915831663328</v>
      </c>
      <c r="W81" s="20">
        <v>477189.18</v>
      </c>
      <c r="X81" s="23">
        <f t="shared" si="12"/>
        <v>0.47814547094188375</v>
      </c>
      <c r="Y81" s="5"/>
      <c r="Z81" s="5"/>
      <c r="AA81" s="5"/>
    </row>
    <row r="82" spans="1:27" ht="63" customHeight="1" x14ac:dyDescent="0.2">
      <c r="A82" s="17" t="s">
        <v>81</v>
      </c>
      <c r="B82" s="18" t="s">
        <v>82</v>
      </c>
      <c r="C82" s="18" t="s">
        <v>70</v>
      </c>
      <c r="D82" s="18" t="s">
        <v>71</v>
      </c>
      <c r="E82" s="28" t="s">
        <v>60</v>
      </c>
      <c r="F82" s="18" t="s">
        <v>114</v>
      </c>
      <c r="G82" s="18" t="s">
        <v>50</v>
      </c>
      <c r="H82" s="18" t="s">
        <v>137</v>
      </c>
      <c r="I82" s="18" t="s">
        <v>136</v>
      </c>
      <c r="J82" s="65">
        <v>3</v>
      </c>
      <c r="K82" s="29">
        <v>0</v>
      </c>
      <c r="L82" s="20">
        <v>1378755.7</v>
      </c>
      <c r="M82" s="20">
        <v>31200</v>
      </c>
      <c r="N82" s="21">
        <f t="shared" si="8"/>
        <v>1347555.7</v>
      </c>
      <c r="O82" s="21"/>
      <c r="P82" s="21"/>
      <c r="Q82" s="21"/>
      <c r="R82" s="21">
        <f t="shared" si="9"/>
        <v>1347555.7</v>
      </c>
      <c r="S82" s="30">
        <v>870594.6</v>
      </c>
      <c r="T82" s="23">
        <f t="shared" si="10"/>
        <v>0.64605463061749513</v>
      </c>
      <c r="U82" s="46">
        <v>477051.7</v>
      </c>
      <c r="V82" s="23">
        <f t="shared" si="11"/>
        <v>0.3540126022249025</v>
      </c>
      <c r="W82" s="20">
        <v>475357.15</v>
      </c>
      <c r="X82" s="23">
        <f t="shared" si="12"/>
        <v>0.35275510318423203</v>
      </c>
      <c r="Y82" s="5"/>
      <c r="Z82" s="5"/>
      <c r="AA82" s="5"/>
    </row>
    <row r="83" spans="1:27" ht="15.75" customHeight="1" x14ac:dyDescent="0.2">
      <c r="A83" s="82" t="s">
        <v>115</v>
      </c>
      <c r="B83" s="70"/>
      <c r="C83" s="70"/>
      <c r="D83" s="70"/>
      <c r="E83" s="70"/>
      <c r="F83" s="70"/>
      <c r="G83" s="70"/>
      <c r="H83" s="70"/>
      <c r="I83" s="70"/>
      <c r="J83" s="71"/>
      <c r="K83" s="34">
        <f t="shared" ref="K83:N83" si="13">SUM(K33:K82)</f>
        <v>151078000</v>
      </c>
      <c r="L83" s="34">
        <f t="shared" si="13"/>
        <v>103909951.02000001</v>
      </c>
      <c r="M83" s="34">
        <f t="shared" si="13"/>
        <v>39579340.999999993</v>
      </c>
      <c r="N83" s="34">
        <f t="shared" si="13"/>
        <v>215408610.02000001</v>
      </c>
      <c r="O83" s="34">
        <f t="shared" ref="O83:Q83" si="14">SUM(O33:O81)</f>
        <v>0</v>
      </c>
      <c r="P83" s="34">
        <f t="shared" si="14"/>
        <v>0</v>
      </c>
      <c r="Q83" s="34">
        <f t="shared" si="14"/>
        <v>0</v>
      </c>
      <c r="R83" s="34">
        <f t="shared" ref="R83:S83" si="15">SUM(R33:R82)</f>
        <v>215408610.02000001</v>
      </c>
      <c r="S83" s="34">
        <f t="shared" si="15"/>
        <v>154996001.51000002</v>
      </c>
      <c r="T83" s="35">
        <f t="shared" si="10"/>
        <v>0.71954413287198282</v>
      </c>
      <c r="U83" s="34">
        <f>SUM(U33:U82)</f>
        <v>85239837.840000033</v>
      </c>
      <c r="V83" s="35">
        <f t="shared" si="11"/>
        <v>0.39571230617051834</v>
      </c>
      <c r="W83" s="34">
        <f>SUM(W33:W82)</f>
        <v>84764065.290000021</v>
      </c>
      <c r="X83" s="35">
        <f t="shared" si="12"/>
        <v>0.39350360824541758</v>
      </c>
      <c r="Y83" s="5"/>
      <c r="Z83" s="5"/>
      <c r="AA83" s="5"/>
    </row>
    <row r="84" spans="1:27" ht="15.75" customHeight="1" x14ac:dyDescent="0.2">
      <c r="A84" s="83" t="s">
        <v>116</v>
      </c>
      <c r="B84" s="70"/>
      <c r="C84" s="70"/>
      <c r="D84" s="70"/>
      <c r="E84" s="70"/>
      <c r="F84" s="70"/>
      <c r="G84" s="70"/>
      <c r="H84" s="70"/>
      <c r="I84" s="70"/>
      <c r="J84" s="71"/>
      <c r="K84" s="47">
        <f t="shared" ref="K84:S84" si="16">SUM(K30+K83)</f>
        <v>1094864000</v>
      </c>
      <c r="L84" s="47">
        <f t="shared" si="16"/>
        <v>157376371.47000003</v>
      </c>
      <c r="M84" s="47">
        <f t="shared" si="16"/>
        <v>93045761.449999988</v>
      </c>
      <c r="N84" s="47">
        <f t="shared" si="16"/>
        <v>1159194610.02</v>
      </c>
      <c r="O84" s="47">
        <f t="shared" si="16"/>
        <v>0</v>
      </c>
      <c r="P84" s="47">
        <f t="shared" si="16"/>
        <v>0</v>
      </c>
      <c r="Q84" s="47">
        <f t="shared" si="16"/>
        <v>-32018774.699999999</v>
      </c>
      <c r="R84" s="47">
        <f t="shared" si="16"/>
        <v>1127175835.3199999</v>
      </c>
      <c r="S84" s="47">
        <f t="shared" si="16"/>
        <v>759392524.54999995</v>
      </c>
      <c r="T84" s="48">
        <f t="shared" si="10"/>
        <v>0.67371256618042386</v>
      </c>
      <c r="U84" s="47">
        <f>SUM(U30+U83)</f>
        <v>689608733.57999992</v>
      </c>
      <c r="V84" s="48">
        <f t="shared" si="11"/>
        <v>0.61180226897272261</v>
      </c>
      <c r="W84" s="47">
        <f>SUM(W30+W83)</f>
        <v>675428643.13999987</v>
      </c>
      <c r="X84" s="48">
        <f t="shared" si="12"/>
        <v>0.59922207518603243</v>
      </c>
      <c r="Y84" s="25"/>
      <c r="Z84" s="5"/>
      <c r="AA84" s="5"/>
    </row>
    <row r="85" spans="1:27" ht="14.25" customHeight="1" x14ac:dyDescent="0.2">
      <c r="A85" s="49" t="s">
        <v>117</v>
      </c>
      <c r="B85" s="50"/>
      <c r="C85" s="50"/>
      <c r="D85" s="50"/>
      <c r="E85" s="50"/>
      <c r="F85" s="50"/>
      <c r="G85" s="50"/>
      <c r="H85" s="51"/>
      <c r="I85" s="51"/>
      <c r="J85" s="51"/>
      <c r="K85" s="50"/>
      <c r="L85" s="50"/>
      <c r="M85" s="52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"/>
      <c r="Z85" s="5"/>
      <c r="AA85" s="5"/>
    </row>
    <row r="86" spans="1:27" ht="14.25" customHeight="1" x14ac:dyDescent="0.2">
      <c r="A86" s="49" t="s">
        <v>118</v>
      </c>
      <c r="B86" s="54"/>
      <c r="C86" s="50"/>
      <c r="D86" s="50"/>
      <c r="E86" s="50"/>
      <c r="F86" s="50"/>
      <c r="G86" s="50"/>
      <c r="H86" s="51"/>
      <c r="I86" s="51"/>
      <c r="J86" s="51"/>
      <c r="K86" s="50"/>
      <c r="L86" s="50"/>
      <c r="M86" s="52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"/>
      <c r="Z86" s="5"/>
      <c r="AA86" s="5"/>
    </row>
    <row r="87" spans="1:27" ht="14.25" customHeight="1" x14ac:dyDescent="0.2">
      <c r="A87" s="84" t="s">
        <v>119</v>
      </c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1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"/>
      <c r="Z87" s="5"/>
      <c r="AA87" s="5"/>
    </row>
    <row r="88" spans="1:27" ht="14.25" customHeight="1" x14ac:dyDescent="0.2">
      <c r="A88" s="55" t="s">
        <v>139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3"/>
      <c r="O88" s="53"/>
      <c r="P88" s="53"/>
      <c r="Q88" s="5"/>
      <c r="R88" s="5"/>
      <c r="S88" s="5"/>
      <c r="T88" s="5"/>
      <c r="U88" s="5"/>
      <c r="V88" s="5"/>
      <c r="W88" s="5"/>
      <c r="X88" s="56"/>
      <c r="Y88" s="5"/>
      <c r="Z88" s="5"/>
      <c r="AA88" s="5"/>
    </row>
    <row r="89" spans="1:27" ht="14.25" customHeight="1" x14ac:dyDescent="0.2">
      <c r="A89" s="85"/>
      <c r="B89" s="73"/>
      <c r="C89" s="73"/>
      <c r="D89" s="73"/>
      <c r="E89" s="73"/>
      <c r="F89" s="73"/>
      <c r="G89" s="73"/>
      <c r="H89" s="74"/>
      <c r="I89" s="5"/>
      <c r="J89" s="5"/>
      <c r="K89" s="5"/>
      <c r="L89" s="5"/>
      <c r="M89" s="5"/>
      <c r="N89" s="53"/>
      <c r="O89" s="53"/>
      <c r="P89" s="53"/>
      <c r="Q89" s="5"/>
      <c r="R89" s="5"/>
      <c r="S89" s="5"/>
      <c r="T89" s="5"/>
      <c r="U89" s="5"/>
      <c r="V89" s="5"/>
      <c r="W89" s="5"/>
      <c r="X89" s="56"/>
      <c r="Y89" s="5"/>
      <c r="Z89" s="5"/>
      <c r="AA89" s="5"/>
    </row>
    <row r="90" spans="1:27" ht="14.25" customHeight="1" x14ac:dyDescent="0.2">
      <c r="A90" s="86"/>
      <c r="B90" s="76"/>
      <c r="C90" s="76"/>
      <c r="D90" s="76"/>
      <c r="E90" s="76"/>
      <c r="F90" s="76"/>
      <c r="G90" s="76"/>
      <c r="H90" s="87"/>
      <c r="I90" s="3"/>
      <c r="J90" s="3"/>
      <c r="K90" s="57"/>
      <c r="L90" s="57"/>
      <c r="M90" s="57"/>
      <c r="N90" s="57"/>
      <c r="O90" s="57"/>
      <c r="P90" s="57"/>
      <c r="Q90" s="5"/>
      <c r="R90" s="5"/>
      <c r="S90" s="5"/>
      <c r="T90" s="5"/>
      <c r="U90" s="5"/>
      <c r="V90" s="5"/>
      <c r="W90" s="5"/>
      <c r="X90" s="56"/>
      <c r="Y90" s="25"/>
      <c r="Z90" s="5"/>
      <c r="AA90" s="5"/>
    </row>
    <row r="91" spans="1:27" ht="14.25" customHeight="1" x14ac:dyDescent="0.2">
      <c r="A91" s="88"/>
      <c r="B91" s="89"/>
      <c r="C91" s="89"/>
      <c r="D91" s="89"/>
      <c r="E91" s="89"/>
      <c r="F91" s="89"/>
      <c r="G91" s="89"/>
      <c r="H91" s="90"/>
      <c r="I91" s="3"/>
      <c r="J91" s="3"/>
      <c r="K91" s="57"/>
      <c r="L91" s="57"/>
      <c r="M91" s="57"/>
      <c r="N91" s="57"/>
      <c r="O91" s="57"/>
      <c r="P91" s="57"/>
      <c r="Q91" s="5"/>
      <c r="R91" s="5"/>
      <c r="S91" s="5"/>
      <c r="T91" s="5"/>
      <c r="U91" s="58"/>
      <c r="V91" s="5"/>
      <c r="W91" s="5"/>
      <c r="X91" s="56"/>
      <c r="Y91" s="25"/>
      <c r="Z91" s="5"/>
      <c r="AA91" s="5"/>
    </row>
    <row r="92" spans="1:27" ht="14.25" customHeight="1" x14ac:dyDescent="0.2">
      <c r="A92" s="59"/>
      <c r="B92" s="59"/>
      <c r="C92" s="59"/>
      <c r="D92" s="53"/>
      <c r="E92" s="53"/>
      <c r="F92" s="53"/>
      <c r="G92" s="53"/>
      <c r="H92" s="3"/>
      <c r="I92" s="3"/>
      <c r="J92" s="3"/>
      <c r="K92" s="57"/>
      <c r="L92" s="57"/>
      <c r="M92" s="57"/>
      <c r="N92" s="57"/>
      <c r="O92" s="57"/>
      <c r="P92" s="57"/>
      <c r="Q92" s="5"/>
      <c r="R92" s="5"/>
      <c r="S92" s="5"/>
      <c r="T92" s="5"/>
      <c r="U92" s="58"/>
      <c r="V92" s="5"/>
      <c r="W92" s="5"/>
      <c r="X92" s="56"/>
      <c r="Y92" s="25"/>
      <c r="Z92" s="5"/>
      <c r="AA92" s="5"/>
    </row>
    <row r="93" spans="1:27" ht="14.2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4.2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4.2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4.2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4.2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2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4.2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4.2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</sheetData>
  <mergeCells count="28">
    <mergeCell ref="A12:B12"/>
    <mergeCell ref="C12:C13"/>
    <mergeCell ref="D12:D13"/>
    <mergeCell ref="G12:G13"/>
    <mergeCell ref="J12:J13"/>
    <mergeCell ref="A30:J30"/>
    <mergeCell ref="A83:J83"/>
    <mergeCell ref="A84:J84"/>
    <mergeCell ref="A87:M87"/>
    <mergeCell ref="A89:H91"/>
    <mergeCell ref="A7:F7"/>
    <mergeCell ref="A9:X9"/>
    <mergeCell ref="P11:Q11"/>
    <mergeCell ref="S11:X11"/>
    <mergeCell ref="E12:F12"/>
    <mergeCell ref="H12:I12"/>
    <mergeCell ref="A8:F8"/>
    <mergeCell ref="A11:J11"/>
    <mergeCell ref="K11:K12"/>
    <mergeCell ref="L11:M11"/>
    <mergeCell ref="N11:N12"/>
    <mergeCell ref="O11:O12"/>
    <mergeCell ref="R11:R12"/>
    <mergeCell ref="A1:F1"/>
    <mergeCell ref="A2:F2"/>
    <mergeCell ref="A3:F3"/>
    <mergeCell ref="A4:F4"/>
    <mergeCell ref="A6:F6"/>
  </mergeCells>
  <pageMargins left="0.511811024" right="0.511811024" top="0.78740157499999996" bottom="0.78740157499999996" header="0.31496062000000002" footer="0.31496062000000002"/>
  <pageSetup paperSize="9" scale="3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 2023</vt:lpstr>
      <vt:lpstr>'AGOSTO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2023-09-19T19:52:17Z</cp:lastPrinted>
  <dcterms:modified xsi:type="dcterms:W3CDTF">2023-09-19T19:52:18Z</dcterms:modified>
</cp:coreProperties>
</file>