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1955"/>
  </bookViews>
  <sheets>
    <sheet name="JULHO" sheetId="1" r:id="rId1"/>
  </sheets>
  <calcPr calcId="124519"/>
  <extLst>
    <ext uri="GoogleSheetsCustomDataVersion2">
      <go:sheetsCustomData xmlns:go="http://customooxmlschemas.google.com/" r:id="rId5" roundtripDataChecksum="0tg6zFhLYgOpiaK64C1YxXvSYE8epbHHiI90Mgdc+1A="/>
    </ext>
  </extLst>
</workbook>
</file>

<file path=xl/calcChain.xml><?xml version="1.0" encoding="utf-8"?>
<calcChain xmlns="http://schemas.openxmlformats.org/spreadsheetml/2006/main">
  <c r="P69" i="1"/>
  <c r="Q68"/>
  <c r="P68"/>
  <c r="O68"/>
  <c r="R67"/>
  <c r="T67" s="1"/>
  <c r="N67"/>
  <c r="X66"/>
  <c r="T66"/>
  <c r="R66"/>
  <c r="N66"/>
  <c r="N65"/>
  <c r="R65" s="1"/>
  <c r="V64"/>
  <c r="R64"/>
  <c r="X64" s="1"/>
  <c r="N64"/>
  <c r="S63"/>
  <c r="S62" s="1"/>
  <c r="L63"/>
  <c r="N63" s="1"/>
  <c r="R63" s="1"/>
  <c r="W62"/>
  <c r="U62"/>
  <c r="L62"/>
  <c r="N62" s="1"/>
  <c r="R62" s="1"/>
  <c r="W61"/>
  <c r="U61"/>
  <c r="T61"/>
  <c r="S61"/>
  <c r="S60" s="1"/>
  <c r="R61"/>
  <c r="V61" s="1"/>
  <c r="N61"/>
  <c r="K61"/>
  <c r="W60"/>
  <c r="U60"/>
  <c r="N60"/>
  <c r="R60" s="1"/>
  <c r="K60"/>
  <c r="N59"/>
  <c r="R59" s="1"/>
  <c r="W58"/>
  <c r="W57" s="1"/>
  <c r="U58"/>
  <c r="S58"/>
  <c r="S57" s="1"/>
  <c r="N58"/>
  <c r="R58" s="1"/>
  <c r="K58"/>
  <c r="U57"/>
  <c r="K57"/>
  <c r="N57" s="1"/>
  <c r="R57" s="1"/>
  <c r="X56"/>
  <c r="V56"/>
  <c r="T56"/>
  <c r="R56"/>
  <c r="N56"/>
  <c r="N55"/>
  <c r="R55" s="1"/>
  <c r="V54"/>
  <c r="R54"/>
  <c r="X54" s="1"/>
  <c r="N54"/>
  <c r="R53"/>
  <c r="T53" s="1"/>
  <c r="N53"/>
  <c r="R52"/>
  <c r="T52" s="1"/>
  <c r="N52"/>
  <c r="N51"/>
  <c r="R51" s="1"/>
  <c r="N50"/>
  <c r="R50" s="1"/>
  <c r="X49"/>
  <c r="V49"/>
  <c r="T49"/>
  <c r="R49"/>
  <c r="N49"/>
  <c r="T48"/>
  <c r="R48"/>
  <c r="V48" s="1"/>
  <c r="N48"/>
  <c r="N47"/>
  <c r="R47" s="1"/>
  <c r="N46"/>
  <c r="R46" s="1"/>
  <c r="W45"/>
  <c r="U45"/>
  <c r="T45"/>
  <c r="S45"/>
  <c r="S44" s="1"/>
  <c r="R45"/>
  <c r="V45" s="1"/>
  <c r="N45"/>
  <c r="L45"/>
  <c r="W44"/>
  <c r="U44"/>
  <c r="N44"/>
  <c r="R44" s="1"/>
  <c r="M44"/>
  <c r="M68" s="1"/>
  <c r="L44"/>
  <c r="L68" s="1"/>
  <c r="W43"/>
  <c r="U43"/>
  <c r="U42" s="1"/>
  <c r="U68" s="1"/>
  <c r="S43"/>
  <c r="L43"/>
  <c r="K43"/>
  <c r="N43" s="1"/>
  <c r="R43" s="1"/>
  <c r="W42"/>
  <c r="S42"/>
  <c r="L42"/>
  <c r="V41"/>
  <c r="R41"/>
  <c r="X41" s="1"/>
  <c r="N41"/>
  <c r="R40"/>
  <c r="T40" s="1"/>
  <c r="N40"/>
  <c r="K39"/>
  <c r="N38"/>
  <c r="R38" s="1"/>
  <c r="N37"/>
  <c r="R37" s="1"/>
  <c r="X36"/>
  <c r="V36"/>
  <c r="T36"/>
  <c r="R36"/>
  <c r="N36"/>
  <c r="N35"/>
  <c r="R35" s="1"/>
  <c r="V34"/>
  <c r="R34"/>
  <c r="X34" s="1"/>
  <c r="N34"/>
  <c r="R33"/>
  <c r="T33" s="1"/>
  <c r="N33"/>
  <c r="R32"/>
  <c r="T32" s="1"/>
  <c r="N32"/>
  <c r="N31"/>
  <c r="Q28"/>
  <c r="Q69" s="1"/>
  <c r="P28"/>
  <c r="O28"/>
  <c r="O69" s="1"/>
  <c r="M28"/>
  <c r="M69" s="1"/>
  <c r="L28"/>
  <c r="L69" s="1"/>
  <c r="K28"/>
  <c r="R27"/>
  <c r="T27" s="1"/>
  <c r="N27"/>
  <c r="W26"/>
  <c r="U26"/>
  <c r="S26"/>
  <c r="S25" s="1"/>
  <c r="S28" s="1"/>
  <c r="L26"/>
  <c r="K26"/>
  <c r="N26" s="1"/>
  <c r="R26" s="1"/>
  <c r="X25"/>
  <c r="W25"/>
  <c r="W28" s="1"/>
  <c r="V25"/>
  <c r="U25"/>
  <c r="U28" s="1"/>
  <c r="U69" s="1"/>
  <c r="R25"/>
  <c r="T25" s="1"/>
  <c r="Q25"/>
  <c r="N25"/>
  <c r="M25"/>
  <c r="L25"/>
  <c r="K25"/>
  <c r="X24"/>
  <c r="V24"/>
  <c r="T24"/>
  <c r="R24"/>
  <c r="N24"/>
  <c r="V23"/>
  <c r="T23"/>
  <c r="R23"/>
  <c r="X23" s="1"/>
  <c r="N23"/>
  <c r="T22"/>
  <c r="R22"/>
  <c r="V22" s="1"/>
  <c r="N22"/>
  <c r="X21"/>
  <c r="R21"/>
  <c r="T21" s="1"/>
  <c r="N21"/>
  <c r="N20"/>
  <c r="R20" s="1"/>
  <c r="X19"/>
  <c r="V19"/>
  <c r="T19"/>
  <c r="R19"/>
  <c r="N19"/>
  <c r="N18"/>
  <c r="R18" s="1"/>
  <c r="V17"/>
  <c r="T17"/>
  <c r="R17"/>
  <c r="X17" s="1"/>
  <c r="N17"/>
  <c r="T16"/>
  <c r="R16"/>
  <c r="V16" s="1"/>
  <c r="N16"/>
  <c r="R15"/>
  <c r="T15" s="1"/>
  <c r="N15"/>
  <c r="N14"/>
  <c r="N28" s="1"/>
  <c r="X50" l="1"/>
  <c r="V50"/>
  <c r="T50"/>
  <c r="X51"/>
  <c r="V51"/>
  <c r="T51"/>
  <c r="T18"/>
  <c r="V18"/>
  <c r="X18"/>
  <c r="T38"/>
  <c r="V38"/>
  <c r="X38"/>
  <c r="K68"/>
  <c r="K69" s="1"/>
  <c r="V44"/>
  <c r="T44"/>
  <c r="X44"/>
  <c r="T35"/>
  <c r="V35"/>
  <c r="X35"/>
  <c r="V47"/>
  <c r="X47"/>
  <c r="T47"/>
  <c r="T63"/>
  <c r="V63"/>
  <c r="X63"/>
  <c r="V60"/>
  <c r="T60"/>
  <c r="X60"/>
  <c r="T37"/>
  <c r="X37"/>
  <c r="V37"/>
  <c r="T58"/>
  <c r="X58"/>
  <c r="V58"/>
  <c r="T65"/>
  <c r="V65"/>
  <c r="X65"/>
  <c r="N69"/>
  <c r="N68"/>
  <c r="T57"/>
  <c r="V57"/>
  <c r="X57"/>
  <c r="X46"/>
  <c r="T46"/>
  <c r="V46"/>
  <c r="V59"/>
  <c r="T59"/>
  <c r="X59"/>
  <c r="X62"/>
  <c r="T62"/>
  <c r="V62"/>
  <c r="T43"/>
  <c r="X43"/>
  <c r="V43"/>
  <c r="T55"/>
  <c r="V55"/>
  <c r="X55"/>
  <c r="X26"/>
  <c r="T26"/>
  <c r="V26"/>
  <c r="T20"/>
  <c r="X20"/>
  <c r="V20"/>
  <c r="S68"/>
  <c r="S69" s="1"/>
  <c r="W68"/>
  <c r="W69" s="1"/>
  <c r="T34"/>
  <c r="N39"/>
  <c r="R39" s="1"/>
  <c r="T41"/>
  <c r="T54"/>
  <c r="T64"/>
  <c r="X53"/>
  <c r="X16"/>
  <c r="V21"/>
  <c r="X33"/>
  <c r="X40"/>
  <c r="R14"/>
  <c r="R31"/>
  <c r="V33"/>
  <c r="V40"/>
  <c r="X48"/>
  <c r="V53"/>
  <c r="X15"/>
  <c r="X27"/>
  <c r="X32"/>
  <c r="X52"/>
  <c r="X45"/>
  <c r="X61"/>
  <c r="X22"/>
  <c r="V27"/>
  <c r="V32"/>
  <c r="K42"/>
  <c r="N42" s="1"/>
  <c r="R42" s="1"/>
  <c r="V52"/>
  <c r="X67"/>
  <c r="V15"/>
  <c r="V14" l="1"/>
  <c r="T14"/>
  <c r="X14"/>
  <c r="R28"/>
  <c r="R68"/>
  <c r="X31"/>
  <c r="T31"/>
  <c r="V31"/>
  <c r="T39"/>
  <c r="V39"/>
  <c r="X39"/>
  <c r="V42"/>
  <c r="T42"/>
  <c r="X42"/>
  <c r="T28" l="1"/>
  <c r="X28"/>
  <c r="V28"/>
  <c r="R69"/>
  <c r="V68"/>
  <c r="X68"/>
  <c r="T68"/>
  <c r="T69" l="1"/>
  <c r="V69"/>
  <c r="X69"/>
</calcChain>
</file>

<file path=xl/sharedStrings.xml><?xml version="1.0" encoding="utf-8"?>
<sst xmlns="http://schemas.openxmlformats.org/spreadsheetml/2006/main" count="518" uniqueCount="128">
  <si>
    <t>ANEXO II</t>
  </si>
  <si>
    <t>Sigla: TJAM</t>
  </si>
  <si>
    <t>Nome do Órgão: TRIBUNAL DE JUSTIÇA DO AMAZONAS</t>
  </si>
  <si>
    <t>JOMAR RICARDO SAUNDERS FERNANDES</t>
  </si>
  <si>
    <t>Responsável pela Informação: SECRETÁRIA DE ORÇAMENTO E FINANÇAS</t>
  </si>
  <si>
    <t>Mês de Referência: 07/2026</t>
  </si>
  <si>
    <t>Data da Publicação: 17/08/2026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</si>
  <si>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</si>
  <si>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</si>
  <si>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</si>
  <si>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</si>
  <si>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</si>
  <si>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</si>
  <si>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</si>
  <si>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</si>
  <si>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</si>
  <si>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</si>
  <si>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e Subfunção</t>
  </si>
  <si>
    <t>Programática
(Programa, Ação e Subtítulo)</t>
  </si>
  <si>
    <t>Descrição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</si>
  <si>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</si>
  <si>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</si>
  <si>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</si>
  <si>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</si>
  <si>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</si>
  <si>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</si>
  <si>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</si>
  <si>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</si>
  <si>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</si>
  <si>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</si>
  <si>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</si>
  <si>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</si>
  <si>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Programa</t>
  </si>
  <si>
    <t>Ação e Subtítulo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</si>
  <si>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</si>
  <si>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</si>
  <si>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</si>
  <si>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</si>
  <si>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</si>
  <si>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</si>
  <si>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</si>
  <si>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</si>
  <si>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</si>
  <si>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 / H</t>
  </si>
  <si>
    <t>J</t>
  </si>
  <si>
    <t>J / H</t>
  </si>
  <si>
    <t>K</t>
  </si>
  <si>
    <t>K / H</t>
  </si>
  <si>
    <t>4101</t>
  </si>
  <si>
    <t>TJAM</t>
  </si>
  <si>
    <t>02.061</t>
  </si>
  <si>
    <t>3290/2560.0001</t>
  </si>
  <si>
    <t>Prestação Jurisdicional do 1° Grau na Justiça Estadual</t>
  </si>
  <si>
    <t>Apreciação e Julgamento da Causas na Justiça Estadual do 1° Grau</t>
  </si>
  <si>
    <t>1</t>
  </si>
  <si>
    <t>1.500.100.0.0000.0000</t>
  </si>
  <si>
    <t>Recursos não Vinculados de Impostos</t>
  </si>
  <si>
    <t>3290/2561.0001</t>
  </si>
  <si>
    <t>Benefícios aos Servidores do 1° Grau</t>
  </si>
  <si>
    <t>1.501.100.0.0000.0000</t>
  </si>
  <si>
    <t>3290/2563.0001</t>
  </si>
  <si>
    <t>Remuneração de Pessoal Ativo e Encargos Sociais do 1° Grau</t>
  </si>
  <si>
    <t>3290/2744.0001</t>
  </si>
  <si>
    <t>Remuneração de Pessoal Ativo e Encargos Sociais do Apoio Administrativo</t>
  </si>
  <si>
    <t>3290/2745.0001</t>
  </si>
  <si>
    <t>Benefícios aos Servidores do Apoio Administrativo</t>
  </si>
  <si>
    <t>3291/2564.0001</t>
  </si>
  <si>
    <t>Prestação Jurisdicional do 2° Grau e Gestão Administrativa na Justiça Estadual</t>
  </si>
  <si>
    <t>Benefícios aos Servidores do 2° Grau</t>
  </si>
  <si>
    <t>3291/2565.0001</t>
  </si>
  <si>
    <t>Apreciação e Julgamento de Causas na Justiça Estadual do 2° Grau</t>
  </si>
  <si>
    <t>3291/2566.0001</t>
  </si>
  <si>
    <t>Remuneração de Pessoal Ativo e Encargos Sociais do 2° Grau</t>
  </si>
  <si>
    <t>02.128</t>
  </si>
  <si>
    <t>3290/2218.0001</t>
  </si>
  <si>
    <t>Formação e aperfeiçoamento dos Servidores</t>
  </si>
  <si>
    <t>3290/2347.0001</t>
  </si>
  <si>
    <t>Operacionalização da Escola Superior da Magistratura - ESMAM</t>
  </si>
  <si>
    <t>02.272</t>
  </si>
  <si>
    <t>0002.0001.0001</t>
  </si>
  <si>
    <t>Previdência de Inativos e Pensionistas do Estado</t>
  </si>
  <si>
    <t>Encargos com Pessoal Inativo e Pensionistas</t>
  </si>
  <si>
    <t>2</t>
  </si>
  <si>
    <t>28.846</t>
  </si>
  <si>
    <t>0003.0023.0001</t>
  </si>
  <si>
    <t>Operações Especiais: Cumprimento de Senteças Judiciais</t>
  </si>
  <si>
    <t>Cumprimento de Sentenças Judiciais Transitadas em julgado</t>
  </si>
  <si>
    <t>Total l</t>
  </si>
  <si>
    <t>4703</t>
  </si>
  <si>
    <t>Fundo de Modernização e Reaparelhamento do Poder Judiciário Estadual</t>
  </si>
  <si>
    <t>3290/1476.0002</t>
  </si>
  <si>
    <t>Construção, Ampliação e Reforma de Unidades Jurisdicionais do 1° Grau</t>
  </si>
  <si>
    <t>1.759.201.0.0000.0000</t>
  </si>
  <si>
    <t>Recursos Vinculados a Fundos - Diretamente Arrecadados</t>
  </si>
  <si>
    <t>3290/1476.0003</t>
  </si>
  <si>
    <t>2.759.201.0.0000.0000</t>
  </si>
  <si>
    <t>3290/1476.0004</t>
  </si>
  <si>
    <t>3290/1476.0005</t>
  </si>
  <si>
    <t>3290.1476.0006</t>
  </si>
  <si>
    <t>3290.1476.0007</t>
  </si>
  <si>
    <t>3290.1476.0009</t>
  </si>
  <si>
    <t>3290/1476.0011</t>
  </si>
  <si>
    <t>3290/1477.0001</t>
  </si>
  <si>
    <t>Aprimoramento da Segurança Institucional no 1° Grau</t>
  </si>
  <si>
    <t>Apreciação e Julgamento de Causas na Justiça Estadual do 1° Grau</t>
  </si>
  <si>
    <t>Benefícios aos Servidores do 1. Grau</t>
  </si>
  <si>
    <t>3290/2581.0001</t>
  </si>
  <si>
    <t>Operacionalização da Corregedoria Geral de Justiça - CGJ/AM</t>
  </si>
  <si>
    <t>3291/1478.0001</t>
  </si>
  <si>
    <t>Construção, Ampliação e Reforma de Unidades Jurisdicionais do 2° Grau</t>
  </si>
  <si>
    <t>3291/1478.0011</t>
  </si>
  <si>
    <t>3291/1479.0001</t>
  </si>
  <si>
    <t>Aprimoramento da Segurança Institucional no 2. Grau</t>
  </si>
  <si>
    <t>Benefícios aos Servidores do 2.° Grau</t>
  </si>
  <si>
    <t xml:space="preserve">1 </t>
  </si>
  <si>
    <t>02.126</t>
  </si>
  <si>
    <t>3290/2627.0001</t>
  </si>
  <si>
    <t>Manutenção, Ampliação e Aperfeiçoamento da Infraestrutura de TIC no 1° Grau do Poder Judiciário</t>
  </si>
  <si>
    <t>Manutenção, Ampliação e Aperfeiçoamento da Infraestrutura de TIC do Poder Judiciário</t>
  </si>
  <si>
    <t>Formação e Aperfeiçoamento dos servidores</t>
  </si>
  <si>
    <t>1.759.285.0.0000.0000</t>
  </si>
  <si>
    <t>Recursos Vinculados a Fundos - Outras Fontes</t>
  </si>
  <si>
    <t>2.759.285.0.0000.0000</t>
  </si>
  <si>
    <t>Total ll</t>
  </si>
  <si>
    <t>Total lll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</si>
  <si>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</si>
  <si>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</si>
  <si>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           3.No campo Crédtitos Adicionais: Acréscimos, são somados os valores de Dotação Suplementar e Dotação Especial.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</si>
</sst>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0\ ;\(0\);\-#\ ;@\ "/>
    <numFmt numFmtId="166" formatCode="#,##0.00\ ;#,##0.00\ ;\-#\ ;@\ "/>
    <numFmt numFmtId="167" formatCode="#,##0.00\ ;#,##0.00\ ;\-#\ "/>
  </numFmts>
  <fonts count="10">
    <font>
      <sz val="10"/>
      <color rgb="FF000000"/>
      <name val="Arial"/>
      <scheme val="minor"/>
    </font>
    <font>
      <sz val="9"/>
      <color theme="1"/>
      <name val="Arial"/>
    </font>
    <font>
      <sz val="10"/>
      <name val="Arial"/>
    </font>
    <font>
      <sz val="11"/>
      <color theme="1"/>
      <name val="Arial"/>
    </font>
    <font>
      <b/>
      <sz val="7"/>
      <color theme="1"/>
      <name val="Arial"/>
    </font>
    <font>
      <sz val="7"/>
      <color theme="1"/>
      <name val="Arial"/>
    </font>
    <font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8000"/>
        <bgColor rgb="FF008000"/>
      </patternFill>
    </fill>
    <fill>
      <patternFill patternType="solid">
        <fgColor rgb="FFDBE5F1"/>
        <bgColor rgb="FFDBE5F1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DCFF"/>
        <bgColor rgb="FF00DCFF"/>
      </patternFill>
    </fill>
  </fills>
  <borders count="21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3" fillId="0" borderId="0" xfId="0" applyFont="1"/>
    <xf numFmtId="0" fontId="3" fillId="2" borderId="4" xfId="0" applyFont="1" applyFill="1" applyBorder="1"/>
    <xf numFmtId="164" fontId="3" fillId="2" borderId="4" xfId="0" applyNumberFormat="1" applyFont="1" applyFill="1" applyBorder="1"/>
    <xf numFmtId="164" fontId="3" fillId="0" borderId="0" xfId="0" applyNumberFormat="1" applyFont="1"/>
    <xf numFmtId="0" fontId="4" fillId="0" borderId="14" xfId="0" applyFont="1" applyBorder="1" applyAlignment="1">
      <alignment horizontal="center" wrapText="1"/>
    </xf>
    <xf numFmtId="164" fontId="4" fillId="0" borderId="14" xfId="0" applyNumberFormat="1" applyFont="1" applyBorder="1" applyAlignment="1">
      <alignment horizontal="center" wrapText="1"/>
    </xf>
    <xf numFmtId="165" fontId="4" fillId="0" borderId="14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166" fontId="5" fillId="0" borderId="14" xfId="0" applyNumberFormat="1" applyFont="1" applyBorder="1" applyAlignment="1">
      <alignment horizontal="center" vertical="center"/>
    </xf>
    <xf numFmtId="166" fontId="5" fillId="2" borderId="14" xfId="0" applyNumberFormat="1" applyFont="1" applyFill="1" applyBorder="1" applyAlignment="1">
      <alignment horizontal="center" vertical="center"/>
    </xf>
    <xf numFmtId="4" fontId="4" fillId="2" borderId="14" xfId="0" applyNumberFormat="1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6" fontId="5" fillId="4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66" fontId="3" fillId="0" borderId="0" xfId="0" applyNumberFormat="1" applyFont="1"/>
    <xf numFmtId="0" fontId="5" fillId="5" borderId="14" xfId="0" applyFont="1" applyFill="1" applyBorder="1" applyAlignment="1">
      <alignment horizontal="center" vertical="center" wrapText="1"/>
    </xf>
    <xf numFmtId="166" fontId="5" fillId="5" borderId="14" xfId="0" applyNumberFormat="1" applyFont="1" applyFill="1" applyBorder="1" applyAlignment="1">
      <alignment horizontal="center" vertical="center"/>
    </xf>
    <xf numFmtId="167" fontId="5" fillId="0" borderId="14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4" fillId="6" borderId="14" xfId="0" applyNumberFormat="1" applyFont="1" applyFill="1" applyBorder="1" applyAlignment="1">
      <alignment horizontal="center" vertical="center" wrapText="1"/>
    </xf>
    <xf numFmtId="164" fontId="4" fillId="6" borderId="14" xfId="0" applyNumberFormat="1" applyFont="1" applyFill="1" applyBorder="1" applyAlignment="1">
      <alignment horizontal="center" vertical="center"/>
    </xf>
    <xf numFmtId="49" fontId="3" fillId="6" borderId="14" xfId="0" applyNumberFormat="1" applyFont="1" applyFill="1" applyBorder="1"/>
    <xf numFmtId="4" fontId="3" fillId="6" borderId="14" xfId="0" applyNumberFormat="1" applyFont="1" applyFill="1" applyBorder="1"/>
    <xf numFmtId="164" fontId="3" fillId="6" borderId="14" xfId="0" applyNumberFormat="1" applyFont="1" applyFill="1" applyBorder="1"/>
    <xf numFmtId="49" fontId="3" fillId="0" borderId="14" xfId="0" applyNumberFormat="1" applyFont="1" applyBorder="1"/>
    <xf numFmtId="4" fontId="3" fillId="0" borderId="14" xfId="0" applyNumberFormat="1" applyFont="1" applyBorder="1"/>
    <xf numFmtId="164" fontId="3" fillId="0" borderId="14" xfId="0" applyNumberFormat="1" applyFont="1" applyBorder="1"/>
    <xf numFmtId="0" fontId="5" fillId="7" borderId="14" xfId="0" applyFont="1" applyFill="1" applyBorder="1" applyAlignment="1">
      <alignment horizontal="center" vertical="center" wrapText="1"/>
    </xf>
    <xf numFmtId="166" fontId="5" fillId="7" borderId="14" xfId="0" applyNumberFormat="1" applyFont="1" applyFill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4" fontId="4" fillId="8" borderId="14" xfId="0" applyNumberFormat="1" applyFont="1" applyFill="1" applyBorder="1" applyAlignment="1">
      <alignment horizontal="center" vertical="center" wrapText="1"/>
    </xf>
    <xf numFmtId="4" fontId="4" fillId="8" borderId="16" xfId="0" applyNumberFormat="1" applyFont="1" applyFill="1" applyBorder="1" applyAlignment="1">
      <alignment horizontal="center" vertical="center" wrapText="1"/>
    </xf>
    <xf numFmtId="164" fontId="4" fillId="8" borderId="16" xfId="0" applyNumberFormat="1" applyFont="1" applyFill="1" applyBorder="1" applyAlignment="1">
      <alignment horizontal="center" vertical="center"/>
    </xf>
    <xf numFmtId="0" fontId="7" fillId="2" borderId="17" xfId="0" applyFont="1" applyFill="1" applyBorder="1"/>
    <xf numFmtId="0" fontId="3" fillId="2" borderId="18" xfId="0" applyFont="1" applyFill="1" applyBorder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/>
    <xf numFmtId="0" fontId="0" fillId="0" borderId="0" xfId="0" applyFont="1" applyAlignment="1"/>
    <xf numFmtId="0" fontId="2" fillId="0" borderId="9" xfId="0" applyFont="1" applyBorder="1"/>
    <xf numFmtId="49" fontId="1" fillId="0" borderId="1" xfId="0" applyNumberFormat="1" applyFont="1" applyBorder="1"/>
    <xf numFmtId="0" fontId="4" fillId="0" borderId="1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5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12" xfId="0" applyFont="1" applyBorder="1"/>
    <xf numFmtId="0" fontId="4" fillId="2" borderId="10" xfId="0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wrapText="1"/>
    </xf>
    <xf numFmtId="49" fontId="3" fillId="8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8" fillId="0" borderId="0" xfId="0" applyNumberFormat="1" applyFont="1" applyFill="1" applyAlignment="1">
      <alignment horizontal="center"/>
    </xf>
    <xf numFmtId="1" fontId="7" fillId="0" borderId="0" xfId="0" applyNumberFormat="1" applyFont="1" applyFill="1"/>
    <xf numFmtId="4" fontId="7" fillId="0" borderId="0" xfId="0" applyNumberFormat="1" applyFont="1" applyFill="1"/>
    <xf numFmtId="4" fontId="7" fillId="0" borderId="4" xfId="0" applyNumberFormat="1" applyFont="1" applyFill="1" applyBorder="1"/>
    <xf numFmtId="4" fontId="9" fillId="0" borderId="4" xfId="0" applyNumberFormat="1" applyFont="1" applyFill="1" applyBorder="1" applyAlignment="1">
      <alignment horizontal="center"/>
    </xf>
    <xf numFmtId="0" fontId="3" fillId="0" borderId="0" xfId="0" applyFont="1" applyFill="1"/>
    <xf numFmtId="1" fontId="8" fillId="0" borderId="4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2" fillId="0" borderId="20" xfId="0" applyFont="1" applyFill="1" applyBorder="1"/>
    <xf numFmtId="164" fontId="8" fillId="0" borderId="1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A1000"/>
  <sheetViews>
    <sheetView tabSelected="1" workbookViewId="0">
      <selection activeCell="X78" sqref="X78"/>
    </sheetView>
  </sheetViews>
  <sheetFormatPr defaultColWidth="12.5703125" defaultRowHeight="15" customHeight="1"/>
  <cols>
    <col min="1" max="6" width="12.5703125" customWidth="1"/>
    <col min="8" max="8" width="13.85546875" customWidth="1"/>
    <col min="19" max="19" width="14.85546875" customWidth="1"/>
    <col min="22" max="22" width="14.28515625" customWidth="1"/>
    <col min="23" max="23" width="13.42578125" customWidth="1"/>
    <col min="24" max="24" width="14.42578125" customWidth="1"/>
    <col min="25" max="25" width="16.140625" customWidth="1"/>
  </cols>
  <sheetData>
    <row r="1" spans="1:27" ht="15.75" customHeight="1">
      <c r="A1" s="51" t="s">
        <v>0</v>
      </c>
      <c r="B1" s="52"/>
      <c r="C1" s="52"/>
      <c r="D1" s="52"/>
      <c r="E1" s="52"/>
      <c r="F1" s="53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1"/>
      <c r="W1" s="1"/>
      <c r="X1" s="1"/>
      <c r="Y1" s="1"/>
      <c r="Z1" s="1"/>
      <c r="AA1" s="1"/>
    </row>
    <row r="2" spans="1:27" ht="15.75" customHeight="1">
      <c r="A2" s="54" t="s">
        <v>1</v>
      </c>
      <c r="B2" s="55"/>
      <c r="C2" s="55"/>
      <c r="D2" s="55"/>
      <c r="E2" s="55"/>
      <c r="F2" s="56"/>
      <c r="G2" s="1"/>
      <c r="H2" s="1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1"/>
      <c r="W2" s="1"/>
      <c r="X2" s="1"/>
      <c r="Y2" s="1"/>
      <c r="Z2" s="1"/>
      <c r="AA2" s="1"/>
    </row>
    <row r="3" spans="1:27" ht="15.75" customHeight="1">
      <c r="A3" s="54" t="s">
        <v>2</v>
      </c>
      <c r="B3" s="55"/>
      <c r="C3" s="55"/>
      <c r="D3" s="55"/>
      <c r="E3" s="55"/>
      <c r="F3" s="56"/>
      <c r="G3" s="1"/>
      <c r="H3" s="1"/>
      <c r="I3" s="1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1"/>
      <c r="W3" s="1"/>
      <c r="X3" s="1"/>
      <c r="Y3" s="1"/>
      <c r="Z3" s="1"/>
      <c r="AA3" s="1"/>
    </row>
    <row r="4" spans="1:27" ht="15.75" customHeight="1">
      <c r="A4" s="51" t="s">
        <v>3</v>
      </c>
      <c r="B4" s="52"/>
      <c r="C4" s="52"/>
      <c r="D4" s="52"/>
      <c r="E4" s="52"/>
      <c r="F4" s="53"/>
      <c r="G4" s="1"/>
      <c r="H4" s="1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3"/>
      <c r="V4" s="1"/>
      <c r="W4" s="1"/>
      <c r="X4" s="1"/>
      <c r="Y4" s="1"/>
      <c r="Z4" s="1"/>
      <c r="AA4" s="1"/>
    </row>
    <row r="5" spans="1:27" ht="15.75" customHeight="1">
      <c r="A5" s="57" t="s">
        <v>4</v>
      </c>
      <c r="B5" s="58"/>
      <c r="C5" s="58"/>
      <c r="D5" s="58"/>
      <c r="E5" s="58"/>
      <c r="F5" s="59"/>
      <c r="G5" s="1"/>
      <c r="H5" s="1"/>
      <c r="I5" s="1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3"/>
      <c r="V5" s="1"/>
      <c r="W5" s="1"/>
      <c r="X5" s="1"/>
      <c r="Y5" s="1"/>
      <c r="Z5" s="1"/>
      <c r="AA5" s="1"/>
    </row>
    <row r="6" spans="1:27" ht="15.75" customHeight="1">
      <c r="A6" s="51" t="s">
        <v>5</v>
      </c>
      <c r="B6" s="52"/>
      <c r="C6" s="52"/>
      <c r="D6" s="52"/>
      <c r="E6" s="52"/>
      <c r="F6" s="53"/>
      <c r="G6" s="1"/>
      <c r="H6" s="1"/>
      <c r="I6" s="1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1"/>
      <c r="W6" s="1"/>
      <c r="X6" s="1"/>
      <c r="Y6" s="1"/>
      <c r="Z6" s="1"/>
      <c r="AA6" s="1"/>
    </row>
    <row r="7" spans="1:27" ht="15.75" customHeight="1">
      <c r="A7" s="60" t="s">
        <v>6</v>
      </c>
      <c r="B7" s="52"/>
      <c r="C7" s="52"/>
      <c r="D7" s="52"/>
      <c r="E7" s="52"/>
      <c r="F7" s="53"/>
      <c r="G7" s="1"/>
      <c r="H7" s="1"/>
      <c r="I7" s="1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3"/>
      <c r="V7" s="1"/>
      <c r="W7" s="1"/>
      <c r="X7" s="1"/>
      <c r="Y7" s="1"/>
      <c r="Z7" s="1"/>
      <c r="AA7" s="1"/>
    </row>
    <row r="8" spans="1:27" ht="15.75" customHeight="1">
      <c r="A8" s="64"/>
      <c r="B8" s="58"/>
      <c r="C8" s="58"/>
      <c r="D8" s="58"/>
      <c r="E8" s="58"/>
      <c r="F8" s="58"/>
      <c r="G8" s="1"/>
      <c r="H8" s="1"/>
      <c r="I8" s="1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3"/>
      <c r="V8" s="1"/>
      <c r="W8" s="1"/>
      <c r="X8" s="1"/>
      <c r="Y8" s="1"/>
      <c r="Z8" s="1"/>
      <c r="AA8" s="1"/>
    </row>
    <row r="9" spans="1:27" ht="15.75" customHeight="1">
      <c r="A9" s="65" t="s">
        <v>7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1"/>
      <c r="Z9" s="1"/>
      <c r="AA9" s="1"/>
    </row>
    <row r="10" spans="1:27" ht="15.75" customHeight="1">
      <c r="A10" s="1"/>
      <c r="B10" s="1"/>
      <c r="C10" s="1"/>
      <c r="D10" s="1"/>
      <c r="E10" s="1"/>
      <c r="F10" s="1"/>
      <c r="G10" s="1"/>
      <c r="H10" s="1"/>
      <c r="I10" s="1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3"/>
      <c r="V10" s="1"/>
      <c r="W10" s="4"/>
      <c r="X10" s="1"/>
      <c r="Y10" s="1"/>
      <c r="Z10" s="1"/>
      <c r="AA10" s="1"/>
    </row>
    <row r="11" spans="1:27" ht="15.75" customHeight="1">
      <c r="A11" s="61" t="s">
        <v>8</v>
      </c>
      <c r="B11" s="52"/>
      <c r="C11" s="52"/>
      <c r="D11" s="52"/>
      <c r="E11" s="52"/>
      <c r="F11" s="52"/>
      <c r="G11" s="52"/>
      <c r="H11" s="52"/>
      <c r="I11" s="52"/>
      <c r="J11" s="53"/>
      <c r="K11" s="66" t="s">
        <v>9</v>
      </c>
      <c r="L11" s="61" t="s">
        <v>10</v>
      </c>
      <c r="M11" s="53"/>
      <c r="N11" s="62" t="s">
        <v>11</v>
      </c>
      <c r="O11" s="62" t="s">
        <v>12</v>
      </c>
      <c r="P11" s="61" t="s">
        <v>13</v>
      </c>
      <c r="Q11" s="53"/>
      <c r="R11" s="62" t="s">
        <v>14</v>
      </c>
      <c r="S11" s="61" t="s">
        <v>15</v>
      </c>
      <c r="T11" s="52"/>
      <c r="U11" s="52"/>
      <c r="V11" s="52"/>
      <c r="W11" s="52"/>
      <c r="X11" s="53"/>
      <c r="Y11" s="1"/>
      <c r="Z11" s="1"/>
      <c r="AA11" s="1"/>
    </row>
    <row r="12" spans="1:27" ht="15.75" customHeight="1">
      <c r="A12" s="73" t="s">
        <v>16</v>
      </c>
      <c r="B12" s="67"/>
      <c r="C12" s="74" t="s">
        <v>17</v>
      </c>
      <c r="D12" s="74" t="s">
        <v>18</v>
      </c>
      <c r="E12" s="73" t="s">
        <v>19</v>
      </c>
      <c r="F12" s="67"/>
      <c r="G12" s="74" t="s">
        <v>20</v>
      </c>
      <c r="H12" s="73" t="s">
        <v>21</v>
      </c>
      <c r="I12" s="67"/>
      <c r="J12" s="68" t="s">
        <v>22</v>
      </c>
      <c r="K12" s="67"/>
      <c r="L12" s="5" t="s">
        <v>23</v>
      </c>
      <c r="M12" s="5" t="s">
        <v>24</v>
      </c>
      <c r="N12" s="63"/>
      <c r="O12" s="63"/>
      <c r="P12" s="5" t="s">
        <v>25</v>
      </c>
      <c r="Q12" s="5" t="s">
        <v>26</v>
      </c>
      <c r="R12" s="63"/>
      <c r="S12" s="5" t="s">
        <v>27</v>
      </c>
      <c r="T12" s="6" t="s">
        <v>28</v>
      </c>
      <c r="U12" s="5" t="s">
        <v>29</v>
      </c>
      <c r="V12" s="6" t="s">
        <v>28</v>
      </c>
      <c r="W12" s="7" t="s">
        <v>30</v>
      </c>
      <c r="X12" s="6" t="s">
        <v>28</v>
      </c>
      <c r="Y12" s="1"/>
      <c r="Z12" s="1"/>
      <c r="AA12" s="1"/>
    </row>
    <row r="13" spans="1:27" ht="28.5" customHeight="1">
      <c r="A13" s="8" t="s">
        <v>31</v>
      </c>
      <c r="B13" s="8" t="s">
        <v>19</v>
      </c>
      <c r="C13" s="63"/>
      <c r="D13" s="63"/>
      <c r="E13" s="8" t="s">
        <v>32</v>
      </c>
      <c r="F13" s="8" t="s">
        <v>33</v>
      </c>
      <c r="G13" s="63"/>
      <c r="H13" s="8" t="s">
        <v>31</v>
      </c>
      <c r="I13" s="8" t="s">
        <v>19</v>
      </c>
      <c r="J13" s="63"/>
      <c r="K13" s="8" t="s">
        <v>34</v>
      </c>
      <c r="L13" s="8" t="s">
        <v>35</v>
      </c>
      <c r="M13" s="8" t="s">
        <v>36</v>
      </c>
      <c r="N13" s="8" t="s">
        <v>37</v>
      </c>
      <c r="O13" s="8" t="s">
        <v>38</v>
      </c>
      <c r="P13" s="8" t="s">
        <v>39</v>
      </c>
      <c r="Q13" s="8" t="s">
        <v>40</v>
      </c>
      <c r="R13" s="8" t="s">
        <v>41</v>
      </c>
      <c r="S13" s="8" t="s">
        <v>42</v>
      </c>
      <c r="T13" s="9" t="s">
        <v>43</v>
      </c>
      <c r="U13" s="8" t="s">
        <v>44</v>
      </c>
      <c r="V13" s="9" t="s">
        <v>45</v>
      </c>
      <c r="W13" s="10" t="s">
        <v>46</v>
      </c>
      <c r="X13" s="9" t="s">
        <v>47</v>
      </c>
      <c r="Y13" s="1"/>
      <c r="Z13" s="1"/>
      <c r="AA13" s="1"/>
    </row>
    <row r="14" spans="1:27" ht="36">
      <c r="A14" s="11" t="s">
        <v>48</v>
      </c>
      <c r="B14" s="12" t="s">
        <v>49</v>
      </c>
      <c r="C14" s="12" t="s">
        <v>50</v>
      </c>
      <c r="D14" s="12" t="s">
        <v>51</v>
      </c>
      <c r="E14" s="12" t="s">
        <v>52</v>
      </c>
      <c r="F14" s="12" t="s">
        <v>53</v>
      </c>
      <c r="G14" s="12" t="s">
        <v>54</v>
      </c>
      <c r="H14" s="12" t="s">
        <v>55</v>
      </c>
      <c r="I14" s="12" t="s">
        <v>56</v>
      </c>
      <c r="J14" s="13">
        <v>3</v>
      </c>
      <c r="K14" s="14">
        <v>100000</v>
      </c>
      <c r="L14" s="15">
        <v>866.54</v>
      </c>
      <c r="M14" s="15">
        <v>100000</v>
      </c>
      <c r="N14" s="16">
        <f t="shared" ref="N14:N27" si="0">K14+L14-M14</f>
        <v>866.5399999999936</v>
      </c>
      <c r="O14" s="17"/>
      <c r="P14" s="17"/>
      <c r="Q14" s="17"/>
      <c r="R14" s="16">
        <f t="shared" ref="R14:R27" si="1">N14-O14+P14+Q14</f>
        <v>866.5399999999936</v>
      </c>
      <c r="S14" s="15">
        <v>866.54</v>
      </c>
      <c r="T14" s="18">
        <f t="shared" ref="T14:T28" si="2">IF(R14&gt;0,S14/R14,0)</f>
        <v>1.0000000000000073</v>
      </c>
      <c r="U14" s="19">
        <v>866.54</v>
      </c>
      <c r="V14" s="18">
        <f t="shared" ref="V14:V28" si="3">IF(R14&gt;0,U14/R14,0)</f>
        <v>1.0000000000000073</v>
      </c>
      <c r="W14" s="15">
        <v>0</v>
      </c>
      <c r="X14" s="18">
        <f t="shared" ref="X14:X28" si="4">IF(R14&gt;0,W14/R14,0)</f>
        <v>0</v>
      </c>
      <c r="Y14" s="1"/>
      <c r="Z14" s="1"/>
      <c r="AA14" s="1"/>
    </row>
    <row r="15" spans="1:27" ht="36">
      <c r="A15" s="11" t="s">
        <v>48</v>
      </c>
      <c r="B15" s="12" t="s">
        <v>49</v>
      </c>
      <c r="C15" s="12" t="s">
        <v>50</v>
      </c>
      <c r="D15" s="12" t="s">
        <v>57</v>
      </c>
      <c r="E15" s="12" t="s">
        <v>52</v>
      </c>
      <c r="F15" s="12" t="s">
        <v>58</v>
      </c>
      <c r="G15" s="12" t="s">
        <v>54</v>
      </c>
      <c r="H15" s="12" t="s">
        <v>55</v>
      </c>
      <c r="I15" s="12" t="s">
        <v>56</v>
      </c>
      <c r="J15" s="13">
        <v>3</v>
      </c>
      <c r="K15" s="14">
        <v>92715102</v>
      </c>
      <c r="L15" s="15">
        <v>12865058</v>
      </c>
      <c r="M15" s="15">
        <v>3157000</v>
      </c>
      <c r="N15" s="16">
        <f t="shared" si="0"/>
        <v>102423160</v>
      </c>
      <c r="O15" s="20"/>
      <c r="P15" s="17"/>
      <c r="Q15" s="17"/>
      <c r="R15" s="16">
        <f t="shared" si="1"/>
        <v>102423160</v>
      </c>
      <c r="S15" s="15">
        <v>36202160.130000003</v>
      </c>
      <c r="T15" s="18">
        <f t="shared" si="2"/>
        <v>0.35345677803731113</v>
      </c>
      <c r="U15" s="19">
        <v>36187718.18</v>
      </c>
      <c r="V15" s="18">
        <f t="shared" si="3"/>
        <v>0.3533157752602048</v>
      </c>
      <c r="W15" s="15">
        <v>17739921.920000002</v>
      </c>
      <c r="X15" s="18">
        <f t="shared" si="4"/>
        <v>0.17320225152201907</v>
      </c>
      <c r="Y15" s="21"/>
      <c r="Z15" s="1"/>
      <c r="AA15" s="1"/>
    </row>
    <row r="16" spans="1:27" ht="36">
      <c r="A16" s="11" t="s">
        <v>48</v>
      </c>
      <c r="B16" s="12" t="s">
        <v>49</v>
      </c>
      <c r="C16" s="12" t="s">
        <v>50</v>
      </c>
      <c r="D16" s="12" t="s">
        <v>57</v>
      </c>
      <c r="E16" s="12" t="s">
        <v>52</v>
      </c>
      <c r="F16" s="12" t="s">
        <v>58</v>
      </c>
      <c r="G16" s="12" t="s">
        <v>54</v>
      </c>
      <c r="H16" s="12" t="s">
        <v>59</v>
      </c>
      <c r="I16" s="12" t="s">
        <v>56</v>
      </c>
      <c r="J16" s="13">
        <v>3</v>
      </c>
      <c r="K16" s="14">
        <v>2000000</v>
      </c>
      <c r="L16" s="15">
        <v>0</v>
      </c>
      <c r="M16" s="15">
        <v>0</v>
      </c>
      <c r="N16" s="16">
        <f t="shared" si="0"/>
        <v>2000000</v>
      </c>
      <c r="O16" s="20"/>
      <c r="P16" s="17"/>
      <c r="Q16" s="17"/>
      <c r="R16" s="16">
        <f t="shared" si="1"/>
        <v>2000000</v>
      </c>
      <c r="S16" s="15">
        <v>0</v>
      </c>
      <c r="T16" s="18">
        <f t="shared" si="2"/>
        <v>0</v>
      </c>
      <c r="U16" s="19">
        <v>0</v>
      </c>
      <c r="V16" s="18">
        <f t="shared" si="3"/>
        <v>0</v>
      </c>
      <c r="W16" s="15">
        <v>0</v>
      </c>
      <c r="X16" s="18">
        <f t="shared" si="4"/>
        <v>0</v>
      </c>
      <c r="Y16" s="21"/>
      <c r="Z16" s="1"/>
      <c r="AA16" s="1"/>
    </row>
    <row r="17" spans="1:27" ht="36">
      <c r="A17" s="11" t="s">
        <v>48</v>
      </c>
      <c r="B17" s="12" t="s">
        <v>49</v>
      </c>
      <c r="C17" s="12" t="s">
        <v>50</v>
      </c>
      <c r="D17" s="12" t="s">
        <v>60</v>
      </c>
      <c r="E17" s="12" t="s">
        <v>52</v>
      </c>
      <c r="F17" s="12" t="s">
        <v>61</v>
      </c>
      <c r="G17" s="12" t="s">
        <v>54</v>
      </c>
      <c r="H17" s="12" t="s">
        <v>55</v>
      </c>
      <c r="I17" s="12" t="s">
        <v>56</v>
      </c>
      <c r="J17" s="22">
        <v>1</v>
      </c>
      <c r="K17" s="14">
        <v>575578426</v>
      </c>
      <c r="L17" s="15">
        <v>39070981.75</v>
      </c>
      <c r="M17" s="15">
        <v>24843906.289999999</v>
      </c>
      <c r="N17" s="16">
        <f t="shared" si="0"/>
        <v>589805501.46000004</v>
      </c>
      <c r="O17" s="17"/>
      <c r="P17" s="17"/>
      <c r="Q17" s="17"/>
      <c r="R17" s="16">
        <f t="shared" si="1"/>
        <v>589805501.46000004</v>
      </c>
      <c r="S17" s="15">
        <v>330782011.13999999</v>
      </c>
      <c r="T17" s="18">
        <f t="shared" si="2"/>
        <v>0.56083235968668432</v>
      </c>
      <c r="U17" s="23">
        <v>318310044.93000001</v>
      </c>
      <c r="V17" s="18">
        <f t="shared" si="3"/>
        <v>0.53968646298153844</v>
      </c>
      <c r="W17" s="15">
        <v>202791553.09999999</v>
      </c>
      <c r="X17" s="18">
        <f t="shared" si="4"/>
        <v>0.34382784256506821</v>
      </c>
      <c r="Y17" s="1"/>
      <c r="Z17" s="1"/>
      <c r="AA17" s="1"/>
    </row>
    <row r="18" spans="1:27" ht="45">
      <c r="A18" s="11" t="s">
        <v>48</v>
      </c>
      <c r="B18" s="12" t="s">
        <v>49</v>
      </c>
      <c r="C18" s="12" t="s">
        <v>50</v>
      </c>
      <c r="D18" s="12" t="s">
        <v>62</v>
      </c>
      <c r="E18" s="12" t="s">
        <v>52</v>
      </c>
      <c r="F18" s="12" t="s">
        <v>63</v>
      </c>
      <c r="G18" s="12" t="s">
        <v>54</v>
      </c>
      <c r="H18" s="12" t="s">
        <v>55</v>
      </c>
      <c r="I18" s="12" t="s">
        <v>56</v>
      </c>
      <c r="J18" s="22">
        <v>1</v>
      </c>
      <c r="K18" s="14">
        <v>180375566</v>
      </c>
      <c r="L18" s="15">
        <v>164712.53</v>
      </c>
      <c r="M18" s="15">
        <v>164712.53</v>
      </c>
      <c r="N18" s="16">
        <f t="shared" si="0"/>
        <v>180375566</v>
      </c>
      <c r="O18" s="17"/>
      <c r="P18" s="17"/>
      <c r="Q18" s="17"/>
      <c r="R18" s="16">
        <f t="shared" si="1"/>
        <v>180375566</v>
      </c>
      <c r="S18" s="15">
        <v>106989701.89</v>
      </c>
      <c r="T18" s="18">
        <f t="shared" si="2"/>
        <v>0.5931496391811738</v>
      </c>
      <c r="U18" s="23">
        <v>106705355.22</v>
      </c>
      <c r="V18" s="18">
        <f t="shared" si="3"/>
        <v>0.59157322461291684</v>
      </c>
      <c r="W18" s="15">
        <v>68348854.129999995</v>
      </c>
      <c r="X18" s="18">
        <f t="shared" si="4"/>
        <v>0.37892523719093968</v>
      </c>
      <c r="Y18" s="1"/>
      <c r="Z18" s="1"/>
      <c r="AA18" s="1"/>
    </row>
    <row r="19" spans="1:27" ht="36">
      <c r="A19" s="11" t="s">
        <v>48</v>
      </c>
      <c r="B19" s="12" t="s">
        <v>49</v>
      </c>
      <c r="C19" s="12" t="s">
        <v>50</v>
      </c>
      <c r="D19" s="12" t="s">
        <v>64</v>
      </c>
      <c r="E19" s="12" t="s">
        <v>52</v>
      </c>
      <c r="F19" s="12" t="s">
        <v>65</v>
      </c>
      <c r="G19" s="12" t="s">
        <v>54</v>
      </c>
      <c r="H19" s="12" t="s">
        <v>55</v>
      </c>
      <c r="I19" s="12" t="s">
        <v>56</v>
      </c>
      <c r="J19" s="13">
        <v>3</v>
      </c>
      <c r="K19" s="14">
        <v>30124000</v>
      </c>
      <c r="L19" s="15">
        <v>2000</v>
      </c>
      <c r="M19" s="15">
        <v>1095136.03</v>
      </c>
      <c r="N19" s="16">
        <f t="shared" si="0"/>
        <v>29030863.969999999</v>
      </c>
      <c r="O19" s="17"/>
      <c r="P19" s="17"/>
      <c r="Q19" s="17"/>
      <c r="R19" s="16">
        <f t="shared" si="1"/>
        <v>29030863.969999999</v>
      </c>
      <c r="S19" s="15">
        <v>10302320.949999999</v>
      </c>
      <c r="T19" s="18">
        <f t="shared" si="2"/>
        <v>0.35487476227528891</v>
      </c>
      <c r="U19" s="19">
        <v>10302199.880000001</v>
      </c>
      <c r="V19" s="18">
        <f t="shared" si="3"/>
        <v>0.35487059188614295</v>
      </c>
      <c r="W19" s="15">
        <v>5091017.91</v>
      </c>
      <c r="X19" s="18">
        <f t="shared" si="4"/>
        <v>0.17536570441930255</v>
      </c>
      <c r="Y19" s="1"/>
      <c r="Z19" s="1"/>
      <c r="AA19" s="1"/>
    </row>
    <row r="20" spans="1:27" ht="45">
      <c r="A20" s="11" t="s">
        <v>48</v>
      </c>
      <c r="B20" s="12" t="s">
        <v>49</v>
      </c>
      <c r="C20" s="12" t="s">
        <v>50</v>
      </c>
      <c r="D20" s="12" t="s">
        <v>66</v>
      </c>
      <c r="E20" s="12" t="s">
        <v>67</v>
      </c>
      <c r="F20" s="12" t="s">
        <v>68</v>
      </c>
      <c r="G20" s="12" t="s">
        <v>54</v>
      </c>
      <c r="H20" s="12" t="s">
        <v>55</v>
      </c>
      <c r="I20" s="12" t="s">
        <v>56</v>
      </c>
      <c r="J20" s="13">
        <v>3</v>
      </c>
      <c r="K20" s="14">
        <v>28933000</v>
      </c>
      <c r="L20" s="15">
        <v>2337000</v>
      </c>
      <c r="M20" s="15">
        <v>546000</v>
      </c>
      <c r="N20" s="16">
        <f t="shared" si="0"/>
        <v>30724000</v>
      </c>
      <c r="O20" s="17"/>
      <c r="P20" s="17"/>
      <c r="Q20" s="17"/>
      <c r="R20" s="16">
        <f t="shared" si="1"/>
        <v>30724000</v>
      </c>
      <c r="S20" s="15">
        <v>10676676.57</v>
      </c>
      <c r="T20" s="18">
        <f t="shared" si="2"/>
        <v>0.34750281766697044</v>
      </c>
      <c r="U20" s="19">
        <v>10675704.359999999</v>
      </c>
      <c r="V20" s="18">
        <f t="shared" si="3"/>
        <v>0.34747117432625957</v>
      </c>
      <c r="W20" s="15">
        <v>5133253.9400000004</v>
      </c>
      <c r="X20" s="18">
        <f t="shared" si="4"/>
        <v>0.16707635529227965</v>
      </c>
      <c r="Y20" s="1"/>
      <c r="Z20" s="1"/>
      <c r="AA20" s="1"/>
    </row>
    <row r="21" spans="1:27" ht="45">
      <c r="A21" s="11" t="s">
        <v>48</v>
      </c>
      <c r="B21" s="12" t="s">
        <v>49</v>
      </c>
      <c r="C21" s="12" t="s">
        <v>50</v>
      </c>
      <c r="D21" s="12" t="s">
        <v>69</v>
      </c>
      <c r="E21" s="12" t="s">
        <v>67</v>
      </c>
      <c r="F21" s="12" t="s">
        <v>70</v>
      </c>
      <c r="G21" s="12" t="s">
        <v>54</v>
      </c>
      <c r="H21" s="12" t="s">
        <v>55</v>
      </c>
      <c r="I21" s="12" t="s">
        <v>56</v>
      </c>
      <c r="J21" s="13">
        <v>3</v>
      </c>
      <c r="K21" s="14">
        <v>50000</v>
      </c>
      <c r="L21" s="15">
        <v>0</v>
      </c>
      <c r="M21" s="15">
        <v>50000</v>
      </c>
      <c r="N21" s="16">
        <f t="shared" si="0"/>
        <v>0</v>
      </c>
      <c r="O21" s="17"/>
      <c r="P21" s="17"/>
      <c r="Q21" s="17"/>
      <c r="R21" s="16">
        <f t="shared" si="1"/>
        <v>0</v>
      </c>
      <c r="S21" s="15">
        <v>0</v>
      </c>
      <c r="T21" s="18">
        <f t="shared" si="2"/>
        <v>0</v>
      </c>
      <c r="U21" s="19">
        <v>0</v>
      </c>
      <c r="V21" s="18">
        <f t="shared" si="3"/>
        <v>0</v>
      </c>
      <c r="W21" s="15">
        <v>0</v>
      </c>
      <c r="X21" s="18">
        <f t="shared" si="4"/>
        <v>0</v>
      </c>
      <c r="Y21" s="1"/>
      <c r="Z21" s="1"/>
      <c r="AA21" s="1"/>
    </row>
    <row r="22" spans="1:27" ht="45">
      <c r="A22" s="11" t="s">
        <v>48</v>
      </c>
      <c r="B22" s="12" t="s">
        <v>49</v>
      </c>
      <c r="C22" s="12" t="s">
        <v>50</v>
      </c>
      <c r="D22" s="12" t="s">
        <v>71</v>
      </c>
      <c r="E22" s="12" t="s">
        <v>67</v>
      </c>
      <c r="F22" s="12" t="s">
        <v>72</v>
      </c>
      <c r="G22" s="12" t="s">
        <v>54</v>
      </c>
      <c r="H22" s="12" t="s">
        <v>55</v>
      </c>
      <c r="I22" s="12" t="s">
        <v>56</v>
      </c>
      <c r="J22" s="22">
        <v>1</v>
      </c>
      <c r="K22" s="14">
        <v>166762665</v>
      </c>
      <c r="L22" s="15">
        <v>4442250.26</v>
      </c>
      <c r="M22" s="15">
        <v>4442250.26</v>
      </c>
      <c r="N22" s="16">
        <f t="shared" si="0"/>
        <v>166762665</v>
      </c>
      <c r="O22" s="17"/>
      <c r="P22" s="17"/>
      <c r="Q22" s="17"/>
      <c r="R22" s="16">
        <f t="shared" si="1"/>
        <v>166762665</v>
      </c>
      <c r="S22" s="15">
        <v>93738509.560000002</v>
      </c>
      <c r="T22" s="18">
        <f t="shared" si="2"/>
        <v>0.56210728918250374</v>
      </c>
      <c r="U22" s="23">
        <v>90173149.530000001</v>
      </c>
      <c r="V22" s="18">
        <f t="shared" si="3"/>
        <v>0.54072744357977254</v>
      </c>
      <c r="W22" s="15">
        <v>57140693.549999997</v>
      </c>
      <c r="X22" s="18">
        <f t="shared" si="4"/>
        <v>0.34264680016957033</v>
      </c>
      <c r="Y22" s="1"/>
      <c r="Z22" s="1"/>
      <c r="AA22" s="1"/>
    </row>
    <row r="23" spans="1:27" ht="36">
      <c r="A23" s="11" t="s">
        <v>48</v>
      </c>
      <c r="B23" s="12" t="s">
        <v>49</v>
      </c>
      <c r="C23" s="12" t="s">
        <v>73</v>
      </c>
      <c r="D23" s="12" t="s">
        <v>74</v>
      </c>
      <c r="E23" s="12" t="s">
        <v>52</v>
      </c>
      <c r="F23" s="12" t="s">
        <v>75</v>
      </c>
      <c r="G23" s="12" t="s">
        <v>54</v>
      </c>
      <c r="H23" s="12" t="s">
        <v>55</v>
      </c>
      <c r="I23" s="12" t="s">
        <v>56</v>
      </c>
      <c r="J23" s="22">
        <v>1</v>
      </c>
      <c r="K23" s="24">
        <v>580890</v>
      </c>
      <c r="L23" s="15">
        <v>0</v>
      </c>
      <c r="M23" s="15">
        <v>0</v>
      </c>
      <c r="N23" s="25">
        <f t="shared" si="0"/>
        <v>580890</v>
      </c>
      <c r="O23" s="17"/>
      <c r="P23" s="17"/>
      <c r="Q23" s="17"/>
      <c r="R23" s="25">
        <f t="shared" si="1"/>
        <v>580890</v>
      </c>
      <c r="S23" s="14">
        <v>54405</v>
      </c>
      <c r="T23" s="26">
        <f t="shared" si="2"/>
        <v>9.3658007540153895E-2</v>
      </c>
      <c r="U23" s="23">
        <v>54405</v>
      </c>
      <c r="V23" s="26">
        <f t="shared" si="3"/>
        <v>9.3658007540153895E-2</v>
      </c>
      <c r="W23" s="15">
        <v>25015</v>
      </c>
      <c r="X23" s="26">
        <f t="shared" si="4"/>
        <v>4.3063230560002753E-2</v>
      </c>
      <c r="Y23" s="1"/>
      <c r="Z23" s="1"/>
      <c r="AA23" s="1"/>
    </row>
    <row r="24" spans="1:27" ht="36">
      <c r="A24" s="11" t="s">
        <v>48</v>
      </c>
      <c r="B24" s="12" t="s">
        <v>49</v>
      </c>
      <c r="C24" s="12" t="s">
        <v>73</v>
      </c>
      <c r="D24" s="12" t="s">
        <v>76</v>
      </c>
      <c r="E24" s="12" t="s">
        <v>52</v>
      </c>
      <c r="F24" s="12" t="s">
        <v>77</v>
      </c>
      <c r="G24" s="12" t="s">
        <v>54</v>
      </c>
      <c r="H24" s="12" t="s">
        <v>55</v>
      </c>
      <c r="I24" s="12" t="s">
        <v>56</v>
      </c>
      <c r="J24" s="22">
        <v>1</v>
      </c>
      <c r="K24" s="24">
        <v>258000</v>
      </c>
      <c r="L24" s="15">
        <v>500000</v>
      </c>
      <c r="M24" s="15">
        <v>0</v>
      </c>
      <c r="N24" s="25">
        <f t="shared" si="0"/>
        <v>758000</v>
      </c>
      <c r="O24" s="17"/>
      <c r="P24" s="17"/>
      <c r="Q24" s="17"/>
      <c r="R24" s="25">
        <f t="shared" si="1"/>
        <v>758000</v>
      </c>
      <c r="S24" s="14">
        <v>434715</v>
      </c>
      <c r="T24" s="26">
        <f t="shared" si="2"/>
        <v>0.57350263852242744</v>
      </c>
      <c r="U24" s="23">
        <v>392085</v>
      </c>
      <c r="V24" s="26">
        <f t="shared" si="3"/>
        <v>0.51726253298153035</v>
      </c>
      <c r="W24" s="15">
        <v>168835</v>
      </c>
      <c r="X24" s="26">
        <f t="shared" si="4"/>
        <v>0.22273746701846966</v>
      </c>
      <c r="Y24" s="1"/>
      <c r="Z24" s="1"/>
      <c r="AA24" s="1"/>
    </row>
    <row r="25" spans="1:27" ht="36">
      <c r="A25" s="11" t="s">
        <v>48</v>
      </c>
      <c r="B25" s="12" t="s">
        <v>49</v>
      </c>
      <c r="C25" s="12" t="s">
        <v>78</v>
      </c>
      <c r="D25" s="12" t="s">
        <v>79</v>
      </c>
      <c r="E25" s="12" t="s">
        <v>80</v>
      </c>
      <c r="F25" s="12" t="s">
        <v>81</v>
      </c>
      <c r="G25" s="12" t="s">
        <v>82</v>
      </c>
      <c r="H25" s="12" t="s">
        <v>55</v>
      </c>
      <c r="I25" s="12" t="s">
        <v>56</v>
      </c>
      <c r="J25" s="22">
        <v>1</v>
      </c>
      <c r="K25" s="14">
        <f>187994351-K26</f>
        <v>175416453</v>
      </c>
      <c r="L25" s="15">
        <f>26290807.9-L26</f>
        <v>20968156.899999999</v>
      </c>
      <c r="M25" s="15">
        <f>22367807.9-M26</f>
        <v>20968156.899999999</v>
      </c>
      <c r="N25" s="16">
        <f t="shared" si="0"/>
        <v>175416453</v>
      </c>
      <c r="O25" s="17"/>
      <c r="P25" s="17"/>
      <c r="Q25" s="16">
        <f>-27430724.88-29940379.63</f>
        <v>-57371104.509999998</v>
      </c>
      <c r="R25" s="16">
        <f t="shared" si="1"/>
        <v>118045348.49000001</v>
      </c>
      <c r="S25" s="15">
        <f>60594216.27-S26</f>
        <v>50022848.160000004</v>
      </c>
      <c r="T25" s="18">
        <f t="shared" si="2"/>
        <v>0.4237595873101056</v>
      </c>
      <c r="U25" s="23">
        <f>29700463.65-U26</f>
        <v>20256636.199999999</v>
      </c>
      <c r="V25" s="18">
        <f t="shared" si="3"/>
        <v>0.17160046083235547</v>
      </c>
      <c r="W25" s="15">
        <f>19052109.37-W26</f>
        <v>13536065.210000001</v>
      </c>
      <c r="X25" s="18">
        <f t="shared" si="4"/>
        <v>0.11466834892818062</v>
      </c>
      <c r="Y25" s="1"/>
      <c r="Z25" s="1"/>
      <c r="AA25" s="1"/>
    </row>
    <row r="26" spans="1:27" ht="36">
      <c r="A26" s="11" t="s">
        <v>48</v>
      </c>
      <c r="B26" s="12" t="s">
        <v>49</v>
      </c>
      <c r="C26" s="12" t="s">
        <v>78</v>
      </c>
      <c r="D26" s="12" t="s">
        <v>79</v>
      </c>
      <c r="E26" s="12" t="s">
        <v>80</v>
      </c>
      <c r="F26" s="12" t="s">
        <v>81</v>
      </c>
      <c r="G26" s="12" t="s">
        <v>82</v>
      </c>
      <c r="H26" s="12" t="s">
        <v>55</v>
      </c>
      <c r="I26" s="12" t="s">
        <v>56</v>
      </c>
      <c r="J26" s="13">
        <v>3</v>
      </c>
      <c r="K26" s="14">
        <f>12577898</f>
        <v>12577898</v>
      </c>
      <c r="L26" s="15">
        <f>5322651</f>
        <v>5322651</v>
      </c>
      <c r="M26" s="15">
        <v>1399651</v>
      </c>
      <c r="N26" s="16">
        <f t="shared" si="0"/>
        <v>16500898</v>
      </c>
      <c r="O26" s="17"/>
      <c r="P26" s="17"/>
      <c r="Q26" s="17"/>
      <c r="R26" s="16">
        <f t="shared" si="1"/>
        <v>16500898</v>
      </c>
      <c r="S26" s="15">
        <f>207145.02+8180071.57+2184151.52</f>
        <v>10571368.109999999</v>
      </c>
      <c r="T26" s="18">
        <f t="shared" si="2"/>
        <v>0.6406541092490845</v>
      </c>
      <c r="U26" s="19">
        <f>207145.02+7052530.91+2184151.52</f>
        <v>9443827.4499999993</v>
      </c>
      <c r="V26" s="18">
        <f t="shared" si="3"/>
        <v>0.57232203059494091</v>
      </c>
      <c r="W26" s="14">
        <f>207145.02+4663248.77+645650.37</f>
        <v>5516044.1599999992</v>
      </c>
      <c r="X26" s="18">
        <f t="shared" si="4"/>
        <v>0.33428751332200218</v>
      </c>
      <c r="Y26" s="1"/>
      <c r="Z26" s="1"/>
      <c r="AA26" s="1"/>
    </row>
    <row r="27" spans="1:27" ht="45">
      <c r="A27" s="11" t="s">
        <v>48</v>
      </c>
      <c r="B27" s="27" t="s">
        <v>49</v>
      </c>
      <c r="C27" s="27" t="s">
        <v>83</v>
      </c>
      <c r="D27" s="27" t="s">
        <v>84</v>
      </c>
      <c r="E27" s="27" t="s">
        <v>85</v>
      </c>
      <c r="F27" s="27" t="s">
        <v>86</v>
      </c>
      <c r="G27" s="27" t="s">
        <v>54</v>
      </c>
      <c r="H27" s="27" t="s">
        <v>55</v>
      </c>
      <c r="I27" s="12" t="s">
        <v>56</v>
      </c>
      <c r="J27" s="22">
        <v>1</v>
      </c>
      <c r="K27" s="15">
        <v>7095000</v>
      </c>
      <c r="L27" s="15">
        <v>1093136.03</v>
      </c>
      <c r="M27" s="15">
        <v>0</v>
      </c>
      <c r="N27" s="16">
        <f t="shared" si="0"/>
        <v>8188136.0300000003</v>
      </c>
      <c r="O27" s="17"/>
      <c r="P27" s="17"/>
      <c r="Q27" s="17"/>
      <c r="R27" s="16">
        <f t="shared" si="1"/>
        <v>8188136.0300000003</v>
      </c>
      <c r="S27" s="15">
        <v>79439.33</v>
      </c>
      <c r="T27" s="18">
        <f t="shared" si="2"/>
        <v>9.7017599254515564E-3</v>
      </c>
      <c r="U27" s="23">
        <v>79439.33</v>
      </c>
      <c r="V27" s="18">
        <f t="shared" si="3"/>
        <v>9.7017599254515564E-3</v>
      </c>
      <c r="W27" s="15">
        <v>79439.33</v>
      </c>
      <c r="X27" s="18">
        <f t="shared" si="4"/>
        <v>9.7017599254515564E-3</v>
      </c>
      <c r="Y27" s="28"/>
      <c r="Z27" s="1"/>
      <c r="AA27" s="1"/>
    </row>
    <row r="28" spans="1:27" ht="15.75" customHeight="1">
      <c r="A28" s="69" t="s">
        <v>87</v>
      </c>
      <c r="B28" s="52"/>
      <c r="C28" s="52"/>
      <c r="D28" s="52"/>
      <c r="E28" s="52"/>
      <c r="F28" s="52"/>
      <c r="G28" s="52"/>
      <c r="H28" s="52"/>
      <c r="I28" s="52"/>
      <c r="J28" s="53"/>
      <c r="K28" s="29">
        <f t="shared" ref="K28:S28" si="5">SUM(K14:K27)</f>
        <v>1272567000</v>
      </c>
      <c r="L28" s="29">
        <f t="shared" si="5"/>
        <v>86766813.00999999</v>
      </c>
      <c r="M28" s="29">
        <f t="shared" si="5"/>
        <v>56766813.009999998</v>
      </c>
      <c r="N28" s="29">
        <f t="shared" si="5"/>
        <v>1302567000</v>
      </c>
      <c r="O28" s="29">
        <f t="shared" si="5"/>
        <v>0</v>
      </c>
      <c r="P28" s="29">
        <f t="shared" si="5"/>
        <v>0</v>
      </c>
      <c r="Q28" s="29">
        <f t="shared" si="5"/>
        <v>-57371104.509999998</v>
      </c>
      <c r="R28" s="29">
        <f t="shared" si="5"/>
        <v>1245195895.49</v>
      </c>
      <c r="S28" s="29">
        <f t="shared" si="5"/>
        <v>649855022.38</v>
      </c>
      <c r="T28" s="30">
        <f t="shared" si="2"/>
        <v>0.52188978837283595</v>
      </c>
      <c r="U28" s="29">
        <f>SUM(U14:U27)</f>
        <v>602581431.62000012</v>
      </c>
      <c r="V28" s="30">
        <f t="shared" si="3"/>
        <v>0.48392500634036933</v>
      </c>
      <c r="W28" s="29">
        <f>SUM(W14:W27)</f>
        <v>375570693.25</v>
      </c>
      <c r="X28" s="30">
        <f t="shared" si="4"/>
        <v>0.30161574946583669</v>
      </c>
      <c r="Y28" s="1"/>
      <c r="Z28" s="1"/>
      <c r="AA28" s="1"/>
    </row>
    <row r="29" spans="1:27" ht="15.75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2"/>
      <c r="L29" s="32"/>
      <c r="M29" s="32"/>
      <c r="N29" s="32"/>
      <c r="O29" s="32"/>
      <c r="P29" s="32"/>
      <c r="Q29" s="32"/>
      <c r="R29" s="32"/>
      <c r="S29" s="32"/>
      <c r="T29" s="33"/>
      <c r="U29" s="32"/>
      <c r="V29" s="33"/>
      <c r="W29" s="32"/>
      <c r="X29" s="33"/>
      <c r="Y29" s="28"/>
      <c r="Z29" s="1"/>
      <c r="AA29" s="1"/>
    </row>
    <row r="30" spans="1:27" ht="15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5"/>
      <c r="L30" s="35"/>
      <c r="M30" s="35"/>
      <c r="N30" s="35"/>
      <c r="O30" s="35"/>
      <c r="P30" s="35"/>
      <c r="Q30" s="35"/>
      <c r="R30" s="35"/>
      <c r="S30" s="35"/>
      <c r="T30" s="36"/>
      <c r="U30" s="35"/>
      <c r="V30" s="36"/>
      <c r="W30" s="35"/>
      <c r="X30" s="36"/>
      <c r="Y30" s="1"/>
      <c r="Z30" s="1"/>
      <c r="AA30" s="1"/>
    </row>
    <row r="31" spans="1:27" ht="54">
      <c r="A31" s="11" t="s">
        <v>88</v>
      </c>
      <c r="B31" s="12" t="s">
        <v>89</v>
      </c>
      <c r="C31" s="12" t="s">
        <v>50</v>
      </c>
      <c r="D31" s="12" t="s">
        <v>90</v>
      </c>
      <c r="E31" s="12" t="s">
        <v>52</v>
      </c>
      <c r="F31" s="12" t="s">
        <v>91</v>
      </c>
      <c r="G31" s="12" t="s">
        <v>54</v>
      </c>
      <c r="H31" s="12" t="s">
        <v>92</v>
      </c>
      <c r="I31" s="12" t="s">
        <v>93</v>
      </c>
      <c r="J31" s="37">
        <v>4</v>
      </c>
      <c r="K31" s="24">
        <v>5700000</v>
      </c>
      <c r="L31" s="15">
        <v>0</v>
      </c>
      <c r="M31" s="15">
        <v>0</v>
      </c>
      <c r="N31" s="16">
        <f t="shared" ref="N31:N67" si="6">K31+L31-M31</f>
        <v>5700000</v>
      </c>
      <c r="O31" s="17"/>
      <c r="P31" s="17"/>
      <c r="Q31" s="17"/>
      <c r="R31" s="16">
        <f t="shared" ref="R31:R67" si="7">N31-O31+P31+Q31</f>
        <v>5700000</v>
      </c>
      <c r="S31" s="24">
        <v>3919341.19</v>
      </c>
      <c r="T31" s="18">
        <f t="shared" ref="T31:T69" si="8">IF(R31&gt;0,S31/R31,0)</f>
        <v>0.68760371754385963</v>
      </c>
      <c r="U31" s="38">
        <v>1353681.04</v>
      </c>
      <c r="V31" s="18">
        <f t="shared" ref="V31:V65" si="9">IF(R31&gt;0,U31/R31,0)</f>
        <v>0.23748790175438597</v>
      </c>
      <c r="W31" s="15">
        <v>1353681.04</v>
      </c>
      <c r="X31" s="18">
        <f t="shared" ref="X31:X69" si="10">IF(R31&gt;0,W31/R31,0)</f>
        <v>0.23748790175438597</v>
      </c>
      <c r="Y31" s="1"/>
      <c r="Z31" s="1"/>
      <c r="AA31" s="1"/>
    </row>
    <row r="32" spans="1:27" ht="54">
      <c r="A32" s="11" t="s">
        <v>88</v>
      </c>
      <c r="B32" s="12" t="s">
        <v>89</v>
      </c>
      <c r="C32" s="12" t="s">
        <v>50</v>
      </c>
      <c r="D32" s="12" t="s">
        <v>94</v>
      </c>
      <c r="E32" s="12" t="s">
        <v>52</v>
      </c>
      <c r="F32" s="12" t="s">
        <v>91</v>
      </c>
      <c r="G32" s="12" t="s">
        <v>54</v>
      </c>
      <c r="H32" s="12" t="s">
        <v>95</v>
      </c>
      <c r="I32" s="12" t="s">
        <v>93</v>
      </c>
      <c r="J32" s="37">
        <v>4</v>
      </c>
      <c r="K32" s="24">
        <v>0</v>
      </c>
      <c r="L32" s="15">
        <v>6763697.4400000004</v>
      </c>
      <c r="M32" s="15">
        <v>0</v>
      </c>
      <c r="N32" s="16">
        <f t="shared" si="6"/>
        <v>6763697.4400000004</v>
      </c>
      <c r="O32" s="17"/>
      <c r="P32" s="17"/>
      <c r="Q32" s="17"/>
      <c r="R32" s="16">
        <f t="shared" si="7"/>
        <v>6763697.4400000004</v>
      </c>
      <c r="S32" s="24">
        <v>6763697.4400000004</v>
      </c>
      <c r="T32" s="18">
        <f t="shared" si="8"/>
        <v>1</v>
      </c>
      <c r="U32" s="38">
        <v>1351920.75</v>
      </c>
      <c r="V32" s="18">
        <f t="shared" si="9"/>
        <v>0.19987895111996612</v>
      </c>
      <c r="W32" s="15">
        <v>1351920.75</v>
      </c>
      <c r="X32" s="18">
        <f t="shared" si="10"/>
        <v>0.19987895111996612</v>
      </c>
      <c r="Y32" s="1"/>
      <c r="Z32" s="1"/>
      <c r="AA32" s="1"/>
    </row>
    <row r="33" spans="1:27" ht="54">
      <c r="A33" s="11" t="s">
        <v>88</v>
      </c>
      <c r="B33" s="12" t="s">
        <v>89</v>
      </c>
      <c r="C33" s="12" t="s">
        <v>50</v>
      </c>
      <c r="D33" s="12" t="s">
        <v>96</v>
      </c>
      <c r="E33" s="12" t="s">
        <v>52</v>
      </c>
      <c r="F33" s="12" t="s">
        <v>91</v>
      </c>
      <c r="G33" s="12" t="s">
        <v>54</v>
      </c>
      <c r="H33" s="12" t="s">
        <v>92</v>
      </c>
      <c r="I33" s="12" t="s">
        <v>93</v>
      </c>
      <c r="J33" s="37">
        <v>4</v>
      </c>
      <c r="K33" s="24">
        <v>26000000</v>
      </c>
      <c r="L33" s="15">
        <v>0</v>
      </c>
      <c r="M33" s="15">
        <v>2931364.22</v>
      </c>
      <c r="N33" s="16">
        <f t="shared" si="6"/>
        <v>23068635.780000001</v>
      </c>
      <c r="O33" s="17"/>
      <c r="P33" s="17"/>
      <c r="Q33" s="17"/>
      <c r="R33" s="16">
        <f t="shared" si="7"/>
        <v>23068635.780000001</v>
      </c>
      <c r="S33" s="24">
        <v>15738303.199999999</v>
      </c>
      <c r="T33" s="18">
        <f t="shared" si="8"/>
        <v>0.68223814143551398</v>
      </c>
      <c r="U33" s="38">
        <v>6803807.6100000003</v>
      </c>
      <c r="V33" s="18">
        <f t="shared" si="9"/>
        <v>0.2949375799629535</v>
      </c>
      <c r="W33" s="15">
        <v>6803807.6100000003</v>
      </c>
      <c r="X33" s="18">
        <f t="shared" si="10"/>
        <v>0.2949375799629535</v>
      </c>
      <c r="Y33" s="1"/>
      <c r="Z33" s="1"/>
      <c r="AA33" s="1"/>
    </row>
    <row r="34" spans="1:27" ht="54">
      <c r="A34" s="11" t="s">
        <v>88</v>
      </c>
      <c r="B34" s="12" t="s">
        <v>89</v>
      </c>
      <c r="C34" s="12" t="s">
        <v>50</v>
      </c>
      <c r="D34" s="12" t="s">
        <v>97</v>
      </c>
      <c r="E34" s="12" t="s">
        <v>52</v>
      </c>
      <c r="F34" s="12" t="s">
        <v>91</v>
      </c>
      <c r="G34" s="12" t="s">
        <v>54</v>
      </c>
      <c r="H34" s="12" t="s">
        <v>92</v>
      </c>
      <c r="I34" s="12" t="s">
        <v>93</v>
      </c>
      <c r="J34" s="37">
        <v>4</v>
      </c>
      <c r="K34" s="24">
        <v>6150000</v>
      </c>
      <c r="L34" s="15">
        <v>504005.81</v>
      </c>
      <c r="M34" s="15">
        <v>0</v>
      </c>
      <c r="N34" s="16">
        <f t="shared" si="6"/>
        <v>6654005.8099999996</v>
      </c>
      <c r="O34" s="17"/>
      <c r="P34" s="17"/>
      <c r="Q34" s="17"/>
      <c r="R34" s="16">
        <f t="shared" si="7"/>
        <v>6654005.8099999996</v>
      </c>
      <c r="S34" s="24">
        <v>6654005.8099999996</v>
      </c>
      <c r="T34" s="18">
        <f t="shared" si="8"/>
        <v>1</v>
      </c>
      <c r="U34" s="38">
        <v>572619.31000000006</v>
      </c>
      <c r="V34" s="18">
        <f t="shared" si="9"/>
        <v>8.605632852610931E-2</v>
      </c>
      <c r="W34" s="15">
        <v>572619.31000000006</v>
      </c>
      <c r="X34" s="18">
        <f t="shared" si="10"/>
        <v>8.605632852610931E-2</v>
      </c>
      <c r="Y34" s="1"/>
      <c r="Z34" s="1"/>
      <c r="AA34" s="1"/>
    </row>
    <row r="35" spans="1:27" ht="54">
      <c r="A35" s="11" t="s">
        <v>88</v>
      </c>
      <c r="B35" s="12" t="s">
        <v>89</v>
      </c>
      <c r="C35" s="12" t="s">
        <v>50</v>
      </c>
      <c r="D35" s="12" t="s">
        <v>98</v>
      </c>
      <c r="E35" s="12" t="s">
        <v>52</v>
      </c>
      <c r="F35" s="12" t="s">
        <v>91</v>
      </c>
      <c r="G35" s="12" t="s">
        <v>54</v>
      </c>
      <c r="H35" s="12" t="s">
        <v>92</v>
      </c>
      <c r="I35" s="12" t="s">
        <v>93</v>
      </c>
      <c r="J35" s="37">
        <v>4</v>
      </c>
      <c r="K35" s="24">
        <v>0</v>
      </c>
      <c r="L35" s="15">
        <v>5800000</v>
      </c>
      <c r="M35" s="15">
        <v>0</v>
      </c>
      <c r="N35" s="16">
        <f t="shared" si="6"/>
        <v>5800000</v>
      </c>
      <c r="O35" s="17"/>
      <c r="P35" s="17"/>
      <c r="Q35" s="17"/>
      <c r="R35" s="16">
        <f t="shared" si="7"/>
        <v>5800000</v>
      </c>
      <c r="S35" s="24">
        <v>5800000</v>
      </c>
      <c r="T35" s="18">
        <f t="shared" si="8"/>
        <v>1</v>
      </c>
      <c r="U35" s="38">
        <v>1471790.89</v>
      </c>
      <c r="V35" s="18">
        <f t="shared" si="9"/>
        <v>0.25375704999999998</v>
      </c>
      <c r="W35" s="15">
        <v>1471790.89</v>
      </c>
      <c r="X35" s="18">
        <f t="shared" si="10"/>
        <v>0.25375704999999998</v>
      </c>
      <c r="Y35" s="1"/>
      <c r="Z35" s="1"/>
      <c r="AA35" s="1"/>
    </row>
    <row r="36" spans="1:27" ht="54">
      <c r="A36" s="11" t="s">
        <v>88</v>
      </c>
      <c r="B36" s="12" t="s">
        <v>89</v>
      </c>
      <c r="C36" s="12" t="s">
        <v>50</v>
      </c>
      <c r="D36" s="12" t="s">
        <v>99</v>
      </c>
      <c r="E36" s="12" t="s">
        <v>52</v>
      </c>
      <c r="F36" s="12" t="s">
        <v>91</v>
      </c>
      <c r="G36" s="12" t="s">
        <v>54</v>
      </c>
      <c r="H36" s="12" t="s">
        <v>92</v>
      </c>
      <c r="I36" s="12" t="s">
        <v>93</v>
      </c>
      <c r="J36" s="37">
        <v>4</v>
      </c>
      <c r="K36" s="24">
        <v>5800000</v>
      </c>
      <c r="L36" s="15">
        <v>0</v>
      </c>
      <c r="M36" s="15">
        <v>0</v>
      </c>
      <c r="N36" s="16">
        <f t="shared" si="6"/>
        <v>5800000</v>
      </c>
      <c r="O36" s="17"/>
      <c r="P36" s="17"/>
      <c r="Q36" s="17"/>
      <c r="R36" s="16">
        <f t="shared" si="7"/>
        <v>5800000</v>
      </c>
      <c r="S36" s="24">
        <v>4560746.93</v>
      </c>
      <c r="T36" s="18">
        <f t="shared" si="8"/>
        <v>0.78633567758620682</v>
      </c>
      <c r="U36" s="38">
        <v>1764095.03</v>
      </c>
      <c r="V36" s="18">
        <f t="shared" si="9"/>
        <v>0.30415431551724137</v>
      </c>
      <c r="W36" s="15">
        <v>1764095.03</v>
      </c>
      <c r="X36" s="18">
        <f t="shared" si="10"/>
        <v>0.30415431551724137</v>
      </c>
      <c r="Y36" s="1"/>
      <c r="Z36" s="1"/>
      <c r="AA36" s="1"/>
    </row>
    <row r="37" spans="1:27" ht="54">
      <c r="A37" s="11" t="s">
        <v>88</v>
      </c>
      <c r="B37" s="12" t="s">
        <v>89</v>
      </c>
      <c r="C37" s="12" t="s">
        <v>50</v>
      </c>
      <c r="D37" s="12" t="s">
        <v>99</v>
      </c>
      <c r="E37" s="12" t="s">
        <v>52</v>
      </c>
      <c r="F37" s="12" t="s">
        <v>91</v>
      </c>
      <c r="G37" s="12" t="s">
        <v>54</v>
      </c>
      <c r="H37" s="12" t="s">
        <v>95</v>
      </c>
      <c r="I37" s="12" t="s">
        <v>93</v>
      </c>
      <c r="J37" s="37">
        <v>4</v>
      </c>
      <c r="K37" s="24">
        <v>0</v>
      </c>
      <c r="L37" s="15">
        <v>3328844.83</v>
      </c>
      <c r="M37" s="15">
        <v>0</v>
      </c>
      <c r="N37" s="16">
        <f t="shared" si="6"/>
        <v>3328844.83</v>
      </c>
      <c r="O37" s="17"/>
      <c r="P37" s="17"/>
      <c r="Q37" s="17"/>
      <c r="R37" s="16">
        <f t="shared" si="7"/>
        <v>3328844.83</v>
      </c>
      <c r="S37" s="24">
        <v>3328844.83</v>
      </c>
      <c r="T37" s="18">
        <f t="shared" si="8"/>
        <v>1</v>
      </c>
      <c r="U37" s="38">
        <v>649831.48</v>
      </c>
      <c r="V37" s="18">
        <f t="shared" si="9"/>
        <v>0.19521230732764433</v>
      </c>
      <c r="W37" s="15">
        <v>649831.48</v>
      </c>
      <c r="X37" s="18">
        <f t="shared" si="10"/>
        <v>0.19521230732764433</v>
      </c>
      <c r="Y37" s="1"/>
      <c r="Z37" s="1"/>
      <c r="AA37" s="1"/>
    </row>
    <row r="38" spans="1:27" ht="54">
      <c r="A38" s="11" t="s">
        <v>88</v>
      </c>
      <c r="B38" s="12" t="s">
        <v>89</v>
      </c>
      <c r="C38" s="12" t="s">
        <v>50</v>
      </c>
      <c r="D38" s="12" t="s">
        <v>100</v>
      </c>
      <c r="E38" s="12" t="s">
        <v>52</v>
      </c>
      <c r="F38" s="12" t="s">
        <v>91</v>
      </c>
      <c r="G38" s="12" t="s">
        <v>54</v>
      </c>
      <c r="H38" s="12" t="s">
        <v>92</v>
      </c>
      <c r="I38" s="12" t="s">
        <v>93</v>
      </c>
      <c r="J38" s="37">
        <v>4</v>
      </c>
      <c r="K38" s="24">
        <v>8500000</v>
      </c>
      <c r="L38" s="15">
        <v>0</v>
      </c>
      <c r="M38" s="15">
        <v>504005.81</v>
      </c>
      <c r="N38" s="16">
        <f t="shared" si="6"/>
        <v>7995994.1900000004</v>
      </c>
      <c r="O38" s="17"/>
      <c r="P38" s="17"/>
      <c r="Q38" s="17"/>
      <c r="R38" s="16">
        <f t="shared" si="7"/>
        <v>7995994.1900000004</v>
      </c>
      <c r="S38" s="24">
        <v>6671994.2300000004</v>
      </c>
      <c r="T38" s="18">
        <f t="shared" si="8"/>
        <v>0.83441709329206004</v>
      </c>
      <c r="U38" s="38">
        <v>1155453.54</v>
      </c>
      <c r="V38" s="18">
        <f t="shared" si="9"/>
        <v>0.14450404947080134</v>
      </c>
      <c r="W38" s="15">
        <v>1155453.54</v>
      </c>
      <c r="X38" s="18">
        <f t="shared" si="10"/>
        <v>0.14450404947080134</v>
      </c>
      <c r="Y38" s="1"/>
      <c r="Z38" s="1"/>
      <c r="AA38" s="1"/>
    </row>
    <row r="39" spans="1:27" ht="54">
      <c r="A39" s="11" t="s">
        <v>88</v>
      </c>
      <c r="B39" s="12" t="s">
        <v>89</v>
      </c>
      <c r="C39" s="12" t="s">
        <v>50</v>
      </c>
      <c r="D39" s="12" t="s">
        <v>101</v>
      </c>
      <c r="E39" s="12" t="s">
        <v>52</v>
      </c>
      <c r="F39" s="12" t="s">
        <v>91</v>
      </c>
      <c r="G39" s="12" t="s">
        <v>54</v>
      </c>
      <c r="H39" s="12" t="s">
        <v>92</v>
      </c>
      <c r="I39" s="12" t="s">
        <v>93</v>
      </c>
      <c r="J39" s="37">
        <v>4</v>
      </c>
      <c r="K39" s="24">
        <f>34750000</f>
        <v>34750000</v>
      </c>
      <c r="L39" s="15">
        <v>2931364.22</v>
      </c>
      <c r="M39" s="15">
        <v>5800000</v>
      </c>
      <c r="N39" s="16">
        <f t="shared" si="6"/>
        <v>31881364.219999999</v>
      </c>
      <c r="O39" s="17"/>
      <c r="P39" s="17"/>
      <c r="Q39" s="17"/>
      <c r="R39" s="16">
        <f t="shared" si="7"/>
        <v>31881364.219999999</v>
      </c>
      <c r="S39" s="24">
        <v>31474366.68</v>
      </c>
      <c r="T39" s="18">
        <f t="shared" si="8"/>
        <v>0.98723399860835692</v>
      </c>
      <c r="U39" s="38">
        <v>18867816.84</v>
      </c>
      <c r="V39" s="18">
        <f t="shared" si="9"/>
        <v>0.59181334618559811</v>
      </c>
      <c r="W39" s="15">
        <v>18867816.84</v>
      </c>
      <c r="X39" s="18">
        <f t="shared" si="10"/>
        <v>0.59181334618559811</v>
      </c>
      <c r="Y39" s="1"/>
      <c r="Z39" s="1"/>
      <c r="AA39" s="1"/>
    </row>
    <row r="40" spans="1:27" ht="54">
      <c r="A40" s="11" t="s">
        <v>88</v>
      </c>
      <c r="B40" s="12" t="s">
        <v>89</v>
      </c>
      <c r="C40" s="12" t="s">
        <v>50</v>
      </c>
      <c r="D40" s="12" t="s">
        <v>101</v>
      </c>
      <c r="E40" s="12" t="s">
        <v>52</v>
      </c>
      <c r="F40" s="12" t="s">
        <v>91</v>
      </c>
      <c r="G40" s="12" t="s">
        <v>54</v>
      </c>
      <c r="H40" s="12" t="s">
        <v>95</v>
      </c>
      <c r="I40" s="12" t="s">
        <v>93</v>
      </c>
      <c r="J40" s="37">
        <v>4</v>
      </c>
      <c r="K40" s="24">
        <v>0</v>
      </c>
      <c r="L40" s="15">
        <v>2445067.12</v>
      </c>
      <c r="M40" s="15">
        <v>0</v>
      </c>
      <c r="N40" s="16">
        <f t="shared" si="6"/>
        <v>2445067.12</v>
      </c>
      <c r="O40" s="17"/>
      <c r="P40" s="17"/>
      <c r="Q40" s="17"/>
      <c r="R40" s="16">
        <f t="shared" si="7"/>
        <v>2445067.12</v>
      </c>
      <c r="S40" s="24">
        <v>2333262.1</v>
      </c>
      <c r="T40" s="18">
        <f t="shared" si="8"/>
        <v>0.9542732307487739</v>
      </c>
      <c r="U40" s="38">
        <v>110224.78</v>
      </c>
      <c r="V40" s="18">
        <f t="shared" si="9"/>
        <v>4.5080472064914112E-2</v>
      </c>
      <c r="W40" s="15">
        <v>110224.78</v>
      </c>
      <c r="X40" s="18">
        <f t="shared" si="10"/>
        <v>4.5080472064914112E-2</v>
      </c>
      <c r="Y40" s="1"/>
      <c r="Z40" s="1"/>
      <c r="AA40" s="1"/>
    </row>
    <row r="41" spans="1:27" ht="45">
      <c r="A41" s="11" t="s">
        <v>88</v>
      </c>
      <c r="B41" s="12" t="s">
        <v>89</v>
      </c>
      <c r="C41" s="12" t="s">
        <v>50</v>
      </c>
      <c r="D41" s="12" t="s">
        <v>102</v>
      </c>
      <c r="E41" s="12" t="s">
        <v>52</v>
      </c>
      <c r="F41" s="12" t="s">
        <v>103</v>
      </c>
      <c r="G41" s="12" t="s">
        <v>54</v>
      </c>
      <c r="H41" s="12" t="s">
        <v>92</v>
      </c>
      <c r="I41" s="12" t="s">
        <v>93</v>
      </c>
      <c r="J41" s="37">
        <v>4</v>
      </c>
      <c r="K41" s="24">
        <v>1580250</v>
      </c>
      <c r="L41" s="15">
        <v>0</v>
      </c>
      <c r="M41" s="15">
        <v>0</v>
      </c>
      <c r="N41" s="16">
        <f t="shared" si="6"/>
        <v>1580250</v>
      </c>
      <c r="O41" s="17"/>
      <c r="P41" s="17"/>
      <c r="Q41" s="17"/>
      <c r="R41" s="16">
        <f t="shared" si="7"/>
        <v>1580250</v>
      </c>
      <c r="S41" s="24">
        <v>237250</v>
      </c>
      <c r="T41" s="18">
        <f t="shared" si="8"/>
        <v>0.15013447239360861</v>
      </c>
      <c r="U41" s="38">
        <v>237250</v>
      </c>
      <c r="V41" s="18">
        <f t="shared" si="9"/>
        <v>0.15013447239360861</v>
      </c>
      <c r="W41" s="15">
        <v>237250</v>
      </c>
      <c r="X41" s="18">
        <f t="shared" si="10"/>
        <v>0.15013447239360861</v>
      </c>
      <c r="Y41" s="1"/>
      <c r="Z41" s="1"/>
      <c r="AA41" s="1"/>
    </row>
    <row r="42" spans="1:27" ht="45">
      <c r="A42" s="11" t="s">
        <v>88</v>
      </c>
      <c r="B42" s="12" t="s">
        <v>89</v>
      </c>
      <c r="C42" s="12" t="s">
        <v>50</v>
      </c>
      <c r="D42" s="12" t="s">
        <v>51</v>
      </c>
      <c r="E42" s="12" t="s">
        <v>52</v>
      </c>
      <c r="F42" s="12" t="s">
        <v>104</v>
      </c>
      <c r="G42" s="12" t="s">
        <v>54</v>
      </c>
      <c r="H42" s="12" t="s">
        <v>92</v>
      </c>
      <c r="I42" s="12" t="s">
        <v>93</v>
      </c>
      <c r="J42" s="13">
        <v>3</v>
      </c>
      <c r="K42" s="24">
        <f>134024300-K43</f>
        <v>131262000</v>
      </c>
      <c r="L42" s="15">
        <f>7034082.58-L43</f>
        <v>7009282.5800000001</v>
      </c>
      <c r="M42" s="15">
        <v>3228890.17</v>
      </c>
      <c r="N42" s="16">
        <f t="shared" si="6"/>
        <v>135042392.41000003</v>
      </c>
      <c r="O42" s="17"/>
      <c r="P42" s="17"/>
      <c r="Q42" s="17"/>
      <c r="R42" s="16">
        <f t="shared" si="7"/>
        <v>135042392.41000003</v>
      </c>
      <c r="S42" s="24">
        <f>124019426.58-S43</f>
        <v>121374952.31</v>
      </c>
      <c r="T42" s="18">
        <f t="shared" si="8"/>
        <v>0.89879148424366972</v>
      </c>
      <c r="U42" s="19">
        <f>63801793.31-U43</f>
        <v>62189797.840000004</v>
      </c>
      <c r="V42" s="18">
        <f t="shared" si="9"/>
        <v>0.46052055750898252</v>
      </c>
      <c r="W42" s="15">
        <f>63147928.39-W43</f>
        <v>61535932.920000002</v>
      </c>
      <c r="X42" s="18">
        <f t="shared" si="10"/>
        <v>0.45567863410751602</v>
      </c>
      <c r="Y42" s="1"/>
      <c r="Z42" s="1"/>
      <c r="AA42" s="1"/>
    </row>
    <row r="43" spans="1:27" ht="45">
      <c r="A43" s="11" t="s">
        <v>88</v>
      </c>
      <c r="B43" s="12" t="s">
        <v>89</v>
      </c>
      <c r="C43" s="12" t="s">
        <v>50</v>
      </c>
      <c r="D43" s="12" t="s">
        <v>51</v>
      </c>
      <c r="E43" s="12" t="s">
        <v>52</v>
      </c>
      <c r="F43" s="12" t="s">
        <v>104</v>
      </c>
      <c r="G43" s="12" t="s">
        <v>54</v>
      </c>
      <c r="H43" s="12" t="s">
        <v>92</v>
      </c>
      <c r="I43" s="12" t="s">
        <v>93</v>
      </c>
      <c r="J43" s="37">
        <v>4</v>
      </c>
      <c r="K43" s="24">
        <f>2762300</f>
        <v>2762300</v>
      </c>
      <c r="L43" s="15">
        <f>24800</f>
        <v>24800</v>
      </c>
      <c r="M43" s="15">
        <v>0</v>
      </c>
      <c r="N43" s="16">
        <f t="shared" si="6"/>
        <v>2787100</v>
      </c>
      <c r="O43" s="17"/>
      <c r="P43" s="17"/>
      <c r="Q43" s="17"/>
      <c r="R43" s="16">
        <f t="shared" si="7"/>
        <v>2787100</v>
      </c>
      <c r="S43" s="15">
        <f>3682+35002+26384.62+11262.95+138941.32+14819.58+1000+863875.14+93000+233616.4+15279.05+1002721.79+204889.42</f>
        <v>2644474.27</v>
      </c>
      <c r="T43" s="18">
        <f t="shared" si="8"/>
        <v>0.94882647554806077</v>
      </c>
      <c r="U43" s="38">
        <f>3682+35002+22119.42+9087.95+137439+7490+25300+93000+233616.4+15279.05+997179.75+32799.9</f>
        <v>1611995.47</v>
      </c>
      <c r="V43" s="18">
        <f t="shared" si="9"/>
        <v>0.57837733486419574</v>
      </c>
      <c r="W43" s="15">
        <f>3682+35002+22119.42+9087.95+137439+7490+25300+93000+233616.4+15279.05+997179.75+32799.9</f>
        <v>1611995.47</v>
      </c>
      <c r="X43" s="18">
        <f t="shared" si="10"/>
        <v>0.57837733486419574</v>
      </c>
      <c r="Y43" s="1"/>
      <c r="Z43" s="1"/>
      <c r="AA43" s="1"/>
    </row>
    <row r="44" spans="1:27" ht="45">
      <c r="A44" s="11" t="s">
        <v>88</v>
      </c>
      <c r="B44" s="12" t="s">
        <v>89</v>
      </c>
      <c r="C44" s="12" t="s">
        <v>50</v>
      </c>
      <c r="D44" s="12" t="s">
        <v>51</v>
      </c>
      <c r="E44" s="12" t="s">
        <v>52</v>
      </c>
      <c r="F44" s="12" t="s">
        <v>104</v>
      </c>
      <c r="G44" s="12" t="s">
        <v>54</v>
      </c>
      <c r="H44" s="12" t="s">
        <v>95</v>
      </c>
      <c r="I44" s="12" t="s">
        <v>93</v>
      </c>
      <c r="J44" s="13">
        <v>3</v>
      </c>
      <c r="K44" s="24">
        <v>0</v>
      </c>
      <c r="L44" s="15">
        <f>30775642.06-L45</f>
        <v>26674136.869999997</v>
      </c>
      <c r="M44" s="15">
        <f>409829.21</f>
        <v>409829.21</v>
      </c>
      <c r="N44" s="16">
        <f t="shared" si="6"/>
        <v>26264307.659999996</v>
      </c>
      <c r="O44" s="17"/>
      <c r="P44" s="17"/>
      <c r="Q44" s="17"/>
      <c r="R44" s="16">
        <f t="shared" si="7"/>
        <v>26264307.659999996</v>
      </c>
      <c r="S44" s="15">
        <f>16268761.35-S45</f>
        <v>13374448.99</v>
      </c>
      <c r="T44" s="18">
        <f t="shared" si="8"/>
        <v>0.50922526354536324</v>
      </c>
      <c r="U44" s="19">
        <f>1625552.54-U45</f>
        <v>824895.98</v>
      </c>
      <c r="V44" s="18">
        <f t="shared" si="9"/>
        <v>3.1407489992827782E-2</v>
      </c>
      <c r="W44" s="15">
        <f>1612795.64-W45</f>
        <v>812139.07999999984</v>
      </c>
      <c r="X44" s="18">
        <f t="shared" si="10"/>
        <v>3.0921777589320243E-2</v>
      </c>
      <c r="Y44" s="1"/>
      <c r="Z44" s="1"/>
      <c r="AA44" s="1"/>
    </row>
    <row r="45" spans="1:27" ht="45">
      <c r="A45" s="11" t="s">
        <v>88</v>
      </c>
      <c r="B45" s="12" t="s">
        <v>89</v>
      </c>
      <c r="C45" s="12" t="s">
        <v>50</v>
      </c>
      <c r="D45" s="12" t="s">
        <v>51</v>
      </c>
      <c r="E45" s="12" t="s">
        <v>52</v>
      </c>
      <c r="F45" s="12" t="s">
        <v>104</v>
      </c>
      <c r="G45" s="12" t="s">
        <v>54</v>
      </c>
      <c r="H45" s="12" t="s">
        <v>95</v>
      </c>
      <c r="I45" s="12" t="s">
        <v>93</v>
      </c>
      <c r="J45" s="37">
        <v>4</v>
      </c>
      <c r="K45" s="24">
        <v>0</v>
      </c>
      <c r="L45" s="15">
        <f>4101505.19</f>
        <v>4101505.19</v>
      </c>
      <c r="M45" s="15">
        <v>0</v>
      </c>
      <c r="N45" s="16">
        <f t="shared" si="6"/>
        <v>4101505.19</v>
      </c>
      <c r="O45" s="17"/>
      <c r="P45" s="17"/>
      <c r="Q45" s="17"/>
      <c r="R45" s="16">
        <f t="shared" si="7"/>
        <v>4101505.19</v>
      </c>
      <c r="S45" s="15">
        <f>80136+121100+317816+14889+2360371.36</f>
        <v>2894312.36</v>
      </c>
      <c r="T45" s="18">
        <f t="shared" si="8"/>
        <v>0.70567077839050596</v>
      </c>
      <c r="U45" s="38">
        <f>121100+190968+488588.56</f>
        <v>800656.56</v>
      </c>
      <c r="V45" s="18">
        <f t="shared" si="9"/>
        <v>0.19521042224988627</v>
      </c>
      <c r="W45" s="15">
        <f>121100+190968+488588.56</f>
        <v>800656.56</v>
      </c>
      <c r="X45" s="18">
        <f t="shared" si="10"/>
        <v>0.19521042224988627</v>
      </c>
      <c r="Y45" s="1"/>
      <c r="Z45" s="1"/>
      <c r="AA45" s="1"/>
    </row>
    <row r="46" spans="1:27" ht="45">
      <c r="A46" s="11" t="s">
        <v>88</v>
      </c>
      <c r="B46" s="12" t="s">
        <v>89</v>
      </c>
      <c r="C46" s="12" t="s">
        <v>50</v>
      </c>
      <c r="D46" s="12" t="s">
        <v>57</v>
      </c>
      <c r="E46" s="12" t="s">
        <v>52</v>
      </c>
      <c r="F46" s="12" t="s">
        <v>105</v>
      </c>
      <c r="G46" s="12" t="s">
        <v>54</v>
      </c>
      <c r="H46" s="12" t="s">
        <v>92</v>
      </c>
      <c r="I46" s="12" t="s">
        <v>93</v>
      </c>
      <c r="J46" s="13">
        <v>3</v>
      </c>
      <c r="K46" s="24">
        <v>100000</v>
      </c>
      <c r="L46" s="14">
        <v>0</v>
      </c>
      <c r="M46" s="14">
        <v>0</v>
      </c>
      <c r="N46" s="25">
        <f t="shared" si="6"/>
        <v>100000</v>
      </c>
      <c r="O46" s="39"/>
      <c r="P46" s="39"/>
      <c r="Q46" s="39"/>
      <c r="R46" s="25">
        <f t="shared" si="7"/>
        <v>100000</v>
      </c>
      <c r="S46" s="14">
        <v>0</v>
      </c>
      <c r="T46" s="26">
        <f t="shared" si="8"/>
        <v>0</v>
      </c>
      <c r="U46" s="19">
        <v>0</v>
      </c>
      <c r="V46" s="26">
        <f t="shared" si="9"/>
        <v>0</v>
      </c>
      <c r="W46" s="14">
        <v>0</v>
      </c>
      <c r="X46" s="26">
        <f t="shared" si="10"/>
        <v>0</v>
      </c>
      <c r="Y46" s="1"/>
      <c r="Z46" s="1"/>
      <c r="AA46" s="1"/>
    </row>
    <row r="47" spans="1:27" ht="45">
      <c r="A47" s="11" t="s">
        <v>88</v>
      </c>
      <c r="B47" s="12" t="s">
        <v>89</v>
      </c>
      <c r="C47" s="12" t="s">
        <v>50</v>
      </c>
      <c r="D47" s="12" t="s">
        <v>57</v>
      </c>
      <c r="E47" s="12" t="s">
        <v>52</v>
      </c>
      <c r="F47" s="12" t="s">
        <v>105</v>
      </c>
      <c r="G47" s="12" t="s">
        <v>54</v>
      </c>
      <c r="H47" s="12" t="s">
        <v>95</v>
      </c>
      <c r="I47" s="12" t="s">
        <v>93</v>
      </c>
      <c r="J47" s="13">
        <v>3</v>
      </c>
      <c r="K47" s="24">
        <v>0</v>
      </c>
      <c r="L47" s="14">
        <v>36747330</v>
      </c>
      <c r="M47" s="14">
        <v>0</v>
      </c>
      <c r="N47" s="25">
        <f t="shared" si="6"/>
        <v>36747330</v>
      </c>
      <c r="O47" s="39"/>
      <c r="P47" s="39"/>
      <c r="Q47" s="39"/>
      <c r="R47" s="25">
        <f t="shared" si="7"/>
        <v>36747330</v>
      </c>
      <c r="S47" s="14">
        <v>30393362.879999999</v>
      </c>
      <c r="T47" s="26">
        <f t="shared" si="8"/>
        <v>0.82709037309649436</v>
      </c>
      <c r="U47" s="19">
        <v>8865315.0800000001</v>
      </c>
      <c r="V47" s="26">
        <f t="shared" si="9"/>
        <v>0.24125059099531856</v>
      </c>
      <c r="W47" s="14">
        <v>8865315.0800000001</v>
      </c>
      <c r="X47" s="26">
        <f t="shared" si="10"/>
        <v>0.24125059099531856</v>
      </c>
      <c r="Y47" s="1"/>
      <c r="Z47" s="1"/>
      <c r="AA47" s="1"/>
    </row>
    <row r="48" spans="1:27" ht="45">
      <c r="A48" s="11" t="s">
        <v>88</v>
      </c>
      <c r="B48" s="12" t="s">
        <v>89</v>
      </c>
      <c r="C48" s="12" t="s">
        <v>50</v>
      </c>
      <c r="D48" s="12" t="s">
        <v>106</v>
      </c>
      <c r="E48" s="12" t="s">
        <v>52</v>
      </c>
      <c r="F48" s="12" t="s">
        <v>107</v>
      </c>
      <c r="G48" s="12" t="s">
        <v>54</v>
      </c>
      <c r="H48" s="12" t="s">
        <v>92</v>
      </c>
      <c r="I48" s="12" t="s">
        <v>93</v>
      </c>
      <c r="J48" s="13">
        <v>3</v>
      </c>
      <c r="K48" s="24">
        <v>960000</v>
      </c>
      <c r="L48" s="14">
        <v>47927.14</v>
      </c>
      <c r="M48" s="14">
        <v>47927.14</v>
      </c>
      <c r="N48" s="25">
        <f t="shared" si="6"/>
        <v>960000</v>
      </c>
      <c r="O48" s="39"/>
      <c r="P48" s="39"/>
      <c r="Q48" s="39"/>
      <c r="R48" s="25">
        <f t="shared" si="7"/>
        <v>960000</v>
      </c>
      <c r="S48" s="14">
        <v>954534.31</v>
      </c>
      <c r="T48" s="26">
        <f t="shared" si="8"/>
        <v>0.99430657291666669</v>
      </c>
      <c r="U48" s="19">
        <v>954534.31</v>
      </c>
      <c r="V48" s="26">
        <f t="shared" si="9"/>
        <v>0.99430657291666669</v>
      </c>
      <c r="W48" s="14">
        <v>954294.31</v>
      </c>
      <c r="X48" s="26">
        <f t="shared" si="10"/>
        <v>0.99405657291666671</v>
      </c>
      <c r="Y48" s="1"/>
      <c r="Z48" s="1"/>
      <c r="AA48" s="1"/>
    </row>
    <row r="49" spans="1:27" ht="45">
      <c r="A49" s="11" t="s">
        <v>88</v>
      </c>
      <c r="B49" s="12" t="s">
        <v>89</v>
      </c>
      <c r="C49" s="12" t="s">
        <v>50</v>
      </c>
      <c r="D49" s="12" t="s">
        <v>106</v>
      </c>
      <c r="E49" s="12" t="s">
        <v>52</v>
      </c>
      <c r="F49" s="12" t="s">
        <v>107</v>
      </c>
      <c r="G49" s="12" t="s">
        <v>54</v>
      </c>
      <c r="H49" s="12" t="s">
        <v>95</v>
      </c>
      <c r="I49" s="12" t="s">
        <v>93</v>
      </c>
      <c r="J49" s="13">
        <v>3</v>
      </c>
      <c r="K49" s="24">
        <v>0</v>
      </c>
      <c r="L49" s="14">
        <v>400000</v>
      </c>
      <c r="M49" s="14">
        <v>0</v>
      </c>
      <c r="N49" s="25">
        <f t="shared" si="6"/>
        <v>400000</v>
      </c>
      <c r="O49" s="39"/>
      <c r="P49" s="39"/>
      <c r="Q49" s="39"/>
      <c r="R49" s="25">
        <f t="shared" si="7"/>
        <v>400000</v>
      </c>
      <c r="S49" s="14">
        <v>5590.32</v>
      </c>
      <c r="T49" s="26">
        <f t="shared" si="8"/>
        <v>1.39758E-2</v>
      </c>
      <c r="U49" s="19">
        <v>3272.02</v>
      </c>
      <c r="V49" s="26">
        <f t="shared" si="9"/>
        <v>8.1800499999999995E-3</v>
      </c>
      <c r="W49" s="14">
        <v>3272.02</v>
      </c>
      <c r="X49" s="26">
        <f t="shared" si="10"/>
        <v>8.1800499999999995E-3</v>
      </c>
      <c r="Y49" s="1"/>
      <c r="Z49" s="1"/>
      <c r="AA49" s="1"/>
    </row>
    <row r="50" spans="1:27" ht="45">
      <c r="A50" s="11" t="s">
        <v>88</v>
      </c>
      <c r="B50" s="12" t="s">
        <v>89</v>
      </c>
      <c r="C50" s="12" t="s">
        <v>50</v>
      </c>
      <c r="D50" s="12" t="s">
        <v>64</v>
      </c>
      <c r="E50" s="12" t="s">
        <v>67</v>
      </c>
      <c r="F50" s="12" t="s">
        <v>65</v>
      </c>
      <c r="G50" s="12" t="s">
        <v>54</v>
      </c>
      <c r="H50" s="12" t="s">
        <v>92</v>
      </c>
      <c r="I50" s="12" t="s">
        <v>93</v>
      </c>
      <c r="J50" s="13">
        <v>3</v>
      </c>
      <c r="K50" s="24">
        <v>50000</v>
      </c>
      <c r="L50" s="14">
        <v>0</v>
      </c>
      <c r="M50" s="14">
        <v>0</v>
      </c>
      <c r="N50" s="25">
        <f t="shared" si="6"/>
        <v>50000</v>
      </c>
      <c r="O50" s="39"/>
      <c r="P50" s="39"/>
      <c r="Q50" s="39"/>
      <c r="R50" s="25">
        <f t="shared" si="7"/>
        <v>50000</v>
      </c>
      <c r="S50" s="24">
        <v>0</v>
      </c>
      <c r="T50" s="26">
        <f t="shared" si="8"/>
        <v>0</v>
      </c>
      <c r="U50" s="19">
        <v>0</v>
      </c>
      <c r="V50" s="26">
        <f t="shared" si="9"/>
        <v>0</v>
      </c>
      <c r="W50" s="14">
        <v>0</v>
      </c>
      <c r="X50" s="26">
        <f t="shared" si="10"/>
        <v>0</v>
      </c>
      <c r="Y50" s="1"/>
      <c r="Z50" s="1"/>
      <c r="AA50" s="1"/>
    </row>
    <row r="51" spans="1:27" ht="45">
      <c r="A51" s="11" t="s">
        <v>88</v>
      </c>
      <c r="B51" s="12" t="s">
        <v>89</v>
      </c>
      <c r="C51" s="12" t="s">
        <v>50</v>
      </c>
      <c r="D51" s="12" t="s">
        <v>64</v>
      </c>
      <c r="E51" s="12" t="s">
        <v>67</v>
      </c>
      <c r="F51" s="12" t="s">
        <v>65</v>
      </c>
      <c r="G51" s="12" t="s">
        <v>54</v>
      </c>
      <c r="H51" s="12" t="s">
        <v>95</v>
      </c>
      <c r="I51" s="12" t="s">
        <v>93</v>
      </c>
      <c r="J51" s="13">
        <v>3</v>
      </c>
      <c r="K51" s="24">
        <v>0</v>
      </c>
      <c r="L51" s="14">
        <v>8035079</v>
      </c>
      <c r="M51" s="14">
        <v>0</v>
      </c>
      <c r="N51" s="25">
        <f t="shared" si="6"/>
        <v>8035079</v>
      </c>
      <c r="O51" s="39"/>
      <c r="P51" s="39"/>
      <c r="Q51" s="39"/>
      <c r="R51" s="25">
        <f t="shared" si="7"/>
        <v>8035079</v>
      </c>
      <c r="S51" s="24">
        <v>7706427.9000000004</v>
      </c>
      <c r="T51" s="26">
        <f t="shared" si="8"/>
        <v>0.95909796282027848</v>
      </c>
      <c r="U51" s="19">
        <v>2586782.29</v>
      </c>
      <c r="V51" s="26">
        <f t="shared" si="9"/>
        <v>0.32193613653331848</v>
      </c>
      <c r="W51" s="14">
        <v>2586782.29</v>
      </c>
      <c r="X51" s="26">
        <f t="shared" si="10"/>
        <v>0.32193613653331848</v>
      </c>
      <c r="Y51" s="1"/>
      <c r="Z51" s="1"/>
      <c r="AA51" s="1"/>
    </row>
    <row r="52" spans="1:27" ht="54">
      <c r="A52" s="11" t="s">
        <v>88</v>
      </c>
      <c r="B52" s="12" t="s">
        <v>89</v>
      </c>
      <c r="C52" s="12" t="s">
        <v>50</v>
      </c>
      <c r="D52" s="12" t="s">
        <v>108</v>
      </c>
      <c r="E52" s="12" t="s">
        <v>67</v>
      </c>
      <c r="F52" s="12" t="s">
        <v>109</v>
      </c>
      <c r="G52" s="12" t="s">
        <v>54</v>
      </c>
      <c r="H52" s="12" t="s">
        <v>92</v>
      </c>
      <c r="I52" s="12" t="s">
        <v>93</v>
      </c>
      <c r="J52" s="13">
        <v>3</v>
      </c>
      <c r="K52" s="24">
        <v>200000</v>
      </c>
      <c r="L52" s="14">
        <v>0</v>
      </c>
      <c r="M52" s="14">
        <v>0</v>
      </c>
      <c r="N52" s="25">
        <f t="shared" si="6"/>
        <v>200000</v>
      </c>
      <c r="O52" s="39"/>
      <c r="P52" s="39"/>
      <c r="Q52" s="39"/>
      <c r="R52" s="25">
        <f t="shared" si="7"/>
        <v>200000</v>
      </c>
      <c r="S52" s="24">
        <v>0</v>
      </c>
      <c r="T52" s="26">
        <f t="shared" si="8"/>
        <v>0</v>
      </c>
      <c r="U52" s="19">
        <v>0</v>
      </c>
      <c r="V52" s="26">
        <f t="shared" si="9"/>
        <v>0</v>
      </c>
      <c r="W52" s="14">
        <v>0</v>
      </c>
      <c r="X52" s="26">
        <f t="shared" si="10"/>
        <v>0</v>
      </c>
      <c r="Y52" s="1"/>
      <c r="Z52" s="1"/>
      <c r="AA52" s="1"/>
    </row>
    <row r="53" spans="1:27" ht="54">
      <c r="A53" s="11" t="s">
        <v>88</v>
      </c>
      <c r="B53" s="12" t="s">
        <v>89</v>
      </c>
      <c r="C53" s="12" t="s">
        <v>50</v>
      </c>
      <c r="D53" s="12" t="s">
        <v>110</v>
      </c>
      <c r="E53" s="12" t="s">
        <v>67</v>
      </c>
      <c r="F53" s="12" t="s">
        <v>109</v>
      </c>
      <c r="G53" s="12" t="s">
        <v>54</v>
      </c>
      <c r="H53" s="12" t="s">
        <v>95</v>
      </c>
      <c r="I53" s="12" t="s">
        <v>93</v>
      </c>
      <c r="J53" s="37">
        <v>4</v>
      </c>
      <c r="K53" s="24">
        <v>0</v>
      </c>
      <c r="L53" s="14">
        <v>2843907.01</v>
      </c>
      <c r="M53" s="14">
        <v>0</v>
      </c>
      <c r="N53" s="25">
        <f t="shared" si="6"/>
        <v>2843907.01</v>
      </c>
      <c r="O53" s="39"/>
      <c r="P53" s="39"/>
      <c r="Q53" s="39"/>
      <c r="R53" s="25">
        <f t="shared" si="7"/>
        <v>2843907.01</v>
      </c>
      <c r="S53" s="24">
        <v>0</v>
      </c>
      <c r="T53" s="26">
        <f t="shared" si="8"/>
        <v>0</v>
      </c>
      <c r="U53" s="38">
        <v>0</v>
      </c>
      <c r="V53" s="26">
        <f t="shared" si="9"/>
        <v>0</v>
      </c>
      <c r="W53" s="14">
        <v>0</v>
      </c>
      <c r="X53" s="26">
        <f t="shared" si="10"/>
        <v>0</v>
      </c>
      <c r="Y53" s="1"/>
      <c r="Z53" s="1"/>
      <c r="AA53" s="1"/>
    </row>
    <row r="54" spans="1:27" ht="45">
      <c r="A54" s="11" t="s">
        <v>88</v>
      </c>
      <c r="B54" s="12" t="s">
        <v>89</v>
      </c>
      <c r="C54" s="12" t="s">
        <v>50</v>
      </c>
      <c r="D54" s="12" t="s">
        <v>111</v>
      </c>
      <c r="E54" s="12" t="s">
        <v>67</v>
      </c>
      <c r="F54" s="12" t="s">
        <v>112</v>
      </c>
      <c r="G54" s="12" t="s">
        <v>54</v>
      </c>
      <c r="H54" s="12" t="s">
        <v>92</v>
      </c>
      <c r="I54" s="12" t="s">
        <v>93</v>
      </c>
      <c r="J54" s="37">
        <v>4</v>
      </c>
      <c r="K54" s="24">
        <v>417750</v>
      </c>
      <c r="L54" s="14">
        <v>0</v>
      </c>
      <c r="M54" s="14">
        <v>0</v>
      </c>
      <c r="N54" s="25">
        <f t="shared" si="6"/>
        <v>417750</v>
      </c>
      <c r="O54" s="39"/>
      <c r="P54" s="39"/>
      <c r="Q54" s="39"/>
      <c r="R54" s="25">
        <f t="shared" si="7"/>
        <v>417750</v>
      </c>
      <c r="S54" s="24">
        <v>0</v>
      </c>
      <c r="T54" s="26">
        <f t="shared" si="8"/>
        <v>0</v>
      </c>
      <c r="U54" s="38">
        <v>0</v>
      </c>
      <c r="V54" s="26">
        <f t="shared" si="9"/>
        <v>0</v>
      </c>
      <c r="W54" s="14">
        <v>0</v>
      </c>
      <c r="X54" s="26">
        <f t="shared" si="10"/>
        <v>0</v>
      </c>
      <c r="Y54" s="1"/>
      <c r="Z54" s="1"/>
      <c r="AA54" s="1"/>
    </row>
    <row r="55" spans="1:27" ht="45">
      <c r="A55" s="11" t="s">
        <v>88</v>
      </c>
      <c r="B55" s="12" t="s">
        <v>89</v>
      </c>
      <c r="C55" s="12" t="s">
        <v>50</v>
      </c>
      <c r="D55" s="12" t="s">
        <v>66</v>
      </c>
      <c r="E55" s="12" t="s">
        <v>67</v>
      </c>
      <c r="F55" s="12" t="s">
        <v>113</v>
      </c>
      <c r="G55" s="12" t="s">
        <v>54</v>
      </c>
      <c r="H55" s="12" t="s">
        <v>92</v>
      </c>
      <c r="I55" s="12" t="s">
        <v>93</v>
      </c>
      <c r="J55" s="13">
        <v>3</v>
      </c>
      <c r="K55" s="24">
        <v>50000</v>
      </c>
      <c r="L55" s="14">
        <v>0</v>
      </c>
      <c r="M55" s="14">
        <v>4600</v>
      </c>
      <c r="N55" s="25">
        <f t="shared" si="6"/>
        <v>45400</v>
      </c>
      <c r="O55" s="39"/>
      <c r="P55" s="39"/>
      <c r="Q55" s="39"/>
      <c r="R55" s="25">
        <f t="shared" si="7"/>
        <v>45400</v>
      </c>
      <c r="S55" s="24">
        <v>0</v>
      </c>
      <c r="T55" s="26">
        <f t="shared" si="8"/>
        <v>0</v>
      </c>
      <c r="U55" s="19">
        <v>0</v>
      </c>
      <c r="V55" s="26">
        <f t="shared" si="9"/>
        <v>0</v>
      </c>
      <c r="W55" s="14">
        <v>0</v>
      </c>
      <c r="X55" s="26">
        <f t="shared" si="10"/>
        <v>0</v>
      </c>
      <c r="Y55" s="1"/>
      <c r="Z55" s="1"/>
      <c r="AA55" s="1"/>
    </row>
    <row r="56" spans="1:27" ht="45">
      <c r="A56" s="11" t="s">
        <v>88</v>
      </c>
      <c r="B56" s="12" t="s">
        <v>89</v>
      </c>
      <c r="C56" s="12" t="s">
        <v>50</v>
      </c>
      <c r="D56" s="12" t="s">
        <v>66</v>
      </c>
      <c r="E56" s="12" t="s">
        <v>67</v>
      </c>
      <c r="F56" s="12" t="s">
        <v>113</v>
      </c>
      <c r="G56" s="12" t="s">
        <v>114</v>
      </c>
      <c r="H56" s="12" t="s">
        <v>95</v>
      </c>
      <c r="I56" s="12" t="s">
        <v>93</v>
      </c>
      <c r="J56" s="13">
        <v>3</v>
      </c>
      <c r="K56" s="24">
        <v>0</v>
      </c>
      <c r="L56" s="14">
        <v>7944047</v>
      </c>
      <c r="M56" s="14">
        <v>0</v>
      </c>
      <c r="N56" s="25">
        <f t="shared" si="6"/>
        <v>7944047</v>
      </c>
      <c r="O56" s="39"/>
      <c r="P56" s="39"/>
      <c r="Q56" s="39"/>
      <c r="R56" s="25">
        <f t="shared" si="7"/>
        <v>7944047</v>
      </c>
      <c r="S56" s="24">
        <v>7543621.5300000003</v>
      </c>
      <c r="T56" s="26">
        <f t="shared" si="8"/>
        <v>0.94959427228967808</v>
      </c>
      <c r="U56" s="19">
        <v>2506752.42</v>
      </c>
      <c r="V56" s="26">
        <f t="shared" si="9"/>
        <v>0.31555105602975408</v>
      </c>
      <c r="W56" s="14">
        <v>2506752.42</v>
      </c>
      <c r="X56" s="26">
        <f t="shared" si="10"/>
        <v>0.31555105602975408</v>
      </c>
      <c r="Y56" s="1"/>
      <c r="Z56" s="1"/>
      <c r="AA56" s="1"/>
    </row>
    <row r="57" spans="1:27" ht="45">
      <c r="A57" s="11" t="s">
        <v>88</v>
      </c>
      <c r="B57" s="12" t="s">
        <v>89</v>
      </c>
      <c r="C57" s="12" t="s">
        <v>50</v>
      </c>
      <c r="D57" s="12" t="s">
        <v>69</v>
      </c>
      <c r="E57" s="12" t="s">
        <v>67</v>
      </c>
      <c r="F57" s="12" t="s">
        <v>70</v>
      </c>
      <c r="G57" s="12" t="s">
        <v>54</v>
      </c>
      <c r="H57" s="12" t="s">
        <v>92</v>
      </c>
      <c r="I57" s="12" t="s">
        <v>93</v>
      </c>
      <c r="J57" s="13">
        <v>3</v>
      </c>
      <c r="K57" s="24">
        <f>10279396-K58</f>
        <v>10039196</v>
      </c>
      <c r="L57" s="15">
        <v>874320.31</v>
      </c>
      <c r="M57" s="15">
        <v>609970.48</v>
      </c>
      <c r="N57" s="16">
        <f t="shared" si="6"/>
        <v>10303545.83</v>
      </c>
      <c r="O57" s="17"/>
      <c r="P57" s="17"/>
      <c r="Q57" s="17"/>
      <c r="R57" s="16">
        <f t="shared" si="7"/>
        <v>10303545.83</v>
      </c>
      <c r="S57" s="15">
        <f>9446324.17-S58</f>
        <v>9290824.1899999995</v>
      </c>
      <c r="T57" s="18">
        <f t="shared" si="8"/>
        <v>0.90171134707322398</v>
      </c>
      <c r="U57" s="19">
        <f>6374109.35-U58</f>
        <v>6218609.3699999992</v>
      </c>
      <c r="V57" s="18">
        <f t="shared" si="9"/>
        <v>0.60354071041192225</v>
      </c>
      <c r="W57" s="15">
        <f>6323868.49-W58</f>
        <v>6168368.5099999998</v>
      </c>
      <c r="X57" s="18">
        <f t="shared" si="10"/>
        <v>0.59866463562864547</v>
      </c>
      <c r="Y57" s="1"/>
      <c r="Z57" s="1"/>
      <c r="AA57" s="1"/>
    </row>
    <row r="58" spans="1:27" ht="45">
      <c r="A58" s="11" t="s">
        <v>88</v>
      </c>
      <c r="B58" s="12" t="s">
        <v>89</v>
      </c>
      <c r="C58" s="12" t="s">
        <v>50</v>
      </c>
      <c r="D58" s="12" t="s">
        <v>69</v>
      </c>
      <c r="E58" s="12" t="s">
        <v>67</v>
      </c>
      <c r="F58" s="12" t="s">
        <v>70</v>
      </c>
      <c r="G58" s="12" t="s">
        <v>54</v>
      </c>
      <c r="H58" s="12" t="s">
        <v>92</v>
      </c>
      <c r="I58" s="12" t="s">
        <v>93</v>
      </c>
      <c r="J58" s="37">
        <v>4</v>
      </c>
      <c r="K58" s="24">
        <f>240200</f>
        <v>240200</v>
      </c>
      <c r="L58" s="15">
        <v>0</v>
      </c>
      <c r="M58" s="15">
        <v>0</v>
      </c>
      <c r="N58" s="16">
        <f t="shared" si="6"/>
        <v>240200</v>
      </c>
      <c r="O58" s="17"/>
      <c r="P58" s="17"/>
      <c r="Q58" s="17"/>
      <c r="R58" s="16">
        <f t="shared" si="7"/>
        <v>240200</v>
      </c>
      <c r="S58" s="15">
        <f>1240+94470+59789.98</f>
        <v>155499.98000000001</v>
      </c>
      <c r="T58" s="18">
        <f t="shared" si="8"/>
        <v>0.64737710241465451</v>
      </c>
      <c r="U58" s="38">
        <f>1240+94470+59789.98</f>
        <v>155499.98000000001</v>
      </c>
      <c r="V58" s="18">
        <f t="shared" si="9"/>
        <v>0.64737710241465451</v>
      </c>
      <c r="W58" s="15">
        <f>1240+94470+59789.98</f>
        <v>155499.98000000001</v>
      </c>
      <c r="X58" s="18">
        <f t="shared" si="10"/>
        <v>0.64737710241465451</v>
      </c>
      <c r="Y58" s="1"/>
      <c r="Z58" s="1"/>
      <c r="AA58" s="1"/>
    </row>
    <row r="59" spans="1:27" ht="45">
      <c r="A59" s="11" t="s">
        <v>88</v>
      </c>
      <c r="B59" s="12" t="s">
        <v>89</v>
      </c>
      <c r="C59" s="12" t="s">
        <v>50</v>
      </c>
      <c r="D59" s="12" t="s">
        <v>69</v>
      </c>
      <c r="E59" s="12" t="s">
        <v>67</v>
      </c>
      <c r="F59" s="12" t="s">
        <v>70</v>
      </c>
      <c r="G59" s="12" t="s">
        <v>54</v>
      </c>
      <c r="H59" s="12" t="s">
        <v>95</v>
      </c>
      <c r="I59" s="12" t="s">
        <v>93</v>
      </c>
      <c r="J59" s="13">
        <v>3</v>
      </c>
      <c r="K59" s="24">
        <v>0</v>
      </c>
      <c r="L59" s="15">
        <v>6898070.8700000001</v>
      </c>
      <c r="M59" s="15">
        <v>2623.23</v>
      </c>
      <c r="N59" s="16">
        <f t="shared" si="6"/>
        <v>6895447.6399999997</v>
      </c>
      <c r="O59" s="17"/>
      <c r="P59" s="17"/>
      <c r="Q59" s="17"/>
      <c r="R59" s="16">
        <f t="shared" si="7"/>
        <v>6895447.6399999997</v>
      </c>
      <c r="S59" s="15">
        <v>4969608.3</v>
      </c>
      <c r="T59" s="18">
        <f t="shared" si="8"/>
        <v>0.72070858332266297</v>
      </c>
      <c r="U59" s="19">
        <v>2703798.14</v>
      </c>
      <c r="V59" s="18">
        <f t="shared" si="9"/>
        <v>0.39211350461360334</v>
      </c>
      <c r="W59" s="15">
        <v>2703798.14</v>
      </c>
      <c r="X59" s="18">
        <f t="shared" si="10"/>
        <v>0.39211350461360334</v>
      </c>
      <c r="Y59" s="1"/>
      <c r="Z59" s="1"/>
      <c r="AA59" s="1"/>
    </row>
    <row r="60" spans="1:27" ht="54">
      <c r="A60" s="11" t="s">
        <v>88</v>
      </c>
      <c r="B60" s="12" t="s">
        <v>89</v>
      </c>
      <c r="C60" s="12" t="s">
        <v>115</v>
      </c>
      <c r="D60" s="12" t="s">
        <v>116</v>
      </c>
      <c r="E60" s="12" t="s">
        <v>52</v>
      </c>
      <c r="F60" s="12" t="s">
        <v>117</v>
      </c>
      <c r="G60" s="12" t="s">
        <v>54</v>
      </c>
      <c r="H60" s="12" t="s">
        <v>92</v>
      </c>
      <c r="I60" s="12" t="s">
        <v>93</v>
      </c>
      <c r="J60" s="13">
        <v>3</v>
      </c>
      <c r="K60" s="24">
        <f>73913500-K61</f>
        <v>50900000</v>
      </c>
      <c r="L60" s="14">
        <v>1232909.4099999999</v>
      </c>
      <c r="M60" s="14">
        <v>5302451.6500000004</v>
      </c>
      <c r="N60" s="25">
        <f t="shared" si="6"/>
        <v>46830457.759999998</v>
      </c>
      <c r="O60" s="39"/>
      <c r="P60" s="39"/>
      <c r="Q60" s="39"/>
      <c r="R60" s="25">
        <f t="shared" si="7"/>
        <v>46830457.759999998</v>
      </c>
      <c r="S60" s="14">
        <f>44728157.36-S61</f>
        <v>34843240.049999997</v>
      </c>
      <c r="T60" s="26">
        <f t="shared" si="8"/>
        <v>0.74402945682416921</v>
      </c>
      <c r="U60" s="19">
        <f>16889311.33-U61</f>
        <v>14644821.629999999</v>
      </c>
      <c r="V60" s="26">
        <f t="shared" si="9"/>
        <v>0.31272001877608807</v>
      </c>
      <c r="W60" s="14">
        <f>16885782.68-W61</f>
        <v>14641292.98</v>
      </c>
      <c r="X60" s="26">
        <f t="shared" si="10"/>
        <v>0.31264466930976248</v>
      </c>
      <c r="Y60" s="1"/>
      <c r="Z60" s="1"/>
      <c r="AA60" s="1"/>
    </row>
    <row r="61" spans="1:27" ht="54">
      <c r="A61" s="11" t="s">
        <v>88</v>
      </c>
      <c r="B61" s="27" t="s">
        <v>89</v>
      </c>
      <c r="C61" s="27" t="s">
        <v>115</v>
      </c>
      <c r="D61" s="27" t="s">
        <v>116</v>
      </c>
      <c r="E61" s="12" t="s">
        <v>52</v>
      </c>
      <c r="F61" s="12" t="s">
        <v>117</v>
      </c>
      <c r="G61" s="27" t="s">
        <v>54</v>
      </c>
      <c r="H61" s="27" t="s">
        <v>92</v>
      </c>
      <c r="I61" s="12" t="s">
        <v>93</v>
      </c>
      <c r="J61" s="37">
        <v>4</v>
      </c>
      <c r="K61" s="24">
        <f>5671500+17342000</f>
        <v>23013500</v>
      </c>
      <c r="L61" s="15">
        <v>0</v>
      </c>
      <c r="M61" s="14">
        <v>0</v>
      </c>
      <c r="N61" s="16">
        <f t="shared" si="6"/>
        <v>23013500</v>
      </c>
      <c r="O61" s="17"/>
      <c r="P61" s="17"/>
      <c r="Q61" s="17"/>
      <c r="R61" s="16">
        <f t="shared" si="7"/>
        <v>23013500</v>
      </c>
      <c r="S61" s="14">
        <f>99980+2517250+2667250.02+34433.29+4454122+111882</f>
        <v>9884917.3099999987</v>
      </c>
      <c r="T61" s="18">
        <f t="shared" si="8"/>
        <v>0.42952689986312376</v>
      </c>
      <c r="U61" s="38">
        <f>99980+130114.15+1132102.26+34433.29+847860</f>
        <v>2244489.7000000002</v>
      </c>
      <c r="V61" s="18">
        <f t="shared" si="9"/>
        <v>9.7529263258522181E-2</v>
      </c>
      <c r="W61" s="15">
        <f>99980+130114.15+1132102.26+34433.29+847860</f>
        <v>2244489.7000000002</v>
      </c>
      <c r="X61" s="18">
        <f t="shared" si="10"/>
        <v>9.7529263258522181E-2</v>
      </c>
      <c r="Y61" s="1"/>
      <c r="Z61" s="1"/>
      <c r="AA61" s="1"/>
    </row>
    <row r="62" spans="1:27" ht="54">
      <c r="A62" s="11" t="s">
        <v>88</v>
      </c>
      <c r="B62" s="27" t="s">
        <v>89</v>
      </c>
      <c r="C62" s="27" t="s">
        <v>115</v>
      </c>
      <c r="D62" s="27" t="s">
        <v>116</v>
      </c>
      <c r="E62" s="12" t="s">
        <v>52</v>
      </c>
      <c r="F62" s="12" t="s">
        <v>118</v>
      </c>
      <c r="G62" s="27" t="s">
        <v>54</v>
      </c>
      <c r="H62" s="27" t="s">
        <v>95</v>
      </c>
      <c r="I62" s="12" t="s">
        <v>93</v>
      </c>
      <c r="J62" s="13">
        <v>3</v>
      </c>
      <c r="K62" s="24">
        <v>0</v>
      </c>
      <c r="L62" s="15">
        <f>37499066.63-L63</f>
        <v>19816084.410000004</v>
      </c>
      <c r="M62" s="14">
        <v>0</v>
      </c>
      <c r="N62" s="16">
        <f t="shared" si="6"/>
        <v>19816084.410000004</v>
      </c>
      <c r="O62" s="17"/>
      <c r="P62" s="17"/>
      <c r="Q62" s="17"/>
      <c r="R62" s="16">
        <f t="shared" si="7"/>
        <v>19816084.410000004</v>
      </c>
      <c r="S62" s="14">
        <f>37038180.95-S63</f>
        <v>19816084.410000004</v>
      </c>
      <c r="T62" s="18">
        <f t="shared" si="8"/>
        <v>1</v>
      </c>
      <c r="U62" s="19">
        <f>16482468.41-U63</f>
        <v>16345940.41</v>
      </c>
      <c r="V62" s="18">
        <f t="shared" si="9"/>
        <v>0.8248824576943754</v>
      </c>
      <c r="W62" s="15">
        <f>16482468.41-W63</f>
        <v>16345940.41</v>
      </c>
      <c r="X62" s="18">
        <f t="shared" si="10"/>
        <v>0.8248824576943754</v>
      </c>
      <c r="Y62" s="1"/>
      <c r="Z62" s="1"/>
      <c r="AA62" s="1"/>
    </row>
    <row r="63" spans="1:27" ht="54">
      <c r="A63" s="11" t="s">
        <v>88</v>
      </c>
      <c r="B63" s="27" t="s">
        <v>89</v>
      </c>
      <c r="C63" s="27" t="s">
        <v>115</v>
      </c>
      <c r="D63" s="27" t="s">
        <v>116</v>
      </c>
      <c r="E63" s="12" t="s">
        <v>52</v>
      </c>
      <c r="F63" s="12" t="s">
        <v>118</v>
      </c>
      <c r="G63" s="27" t="s">
        <v>54</v>
      </c>
      <c r="H63" s="27" t="s">
        <v>95</v>
      </c>
      <c r="I63" s="12" t="s">
        <v>93</v>
      </c>
      <c r="J63" s="37">
        <v>4</v>
      </c>
      <c r="K63" s="24">
        <v>0</v>
      </c>
      <c r="L63" s="15">
        <f>12385535.22+5297447</f>
        <v>17682982.219999999</v>
      </c>
      <c r="M63" s="14">
        <v>0</v>
      </c>
      <c r="N63" s="16">
        <f t="shared" si="6"/>
        <v>17682982.219999999</v>
      </c>
      <c r="O63" s="17"/>
      <c r="P63" s="17"/>
      <c r="Q63" s="17"/>
      <c r="R63" s="16">
        <f t="shared" si="7"/>
        <v>17682982.219999999</v>
      </c>
      <c r="S63" s="14">
        <f>11924649.54+5297447</f>
        <v>17222096.539999999</v>
      </c>
      <c r="T63" s="18">
        <f t="shared" si="8"/>
        <v>0.97393620180883722</v>
      </c>
      <c r="U63" s="38">
        <v>136528</v>
      </c>
      <c r="V63" s="18">
        <f t="shared" si="9"/>
        <v>7.7208696079320051E-3</v>
      </c>
      <c r="W63" s="15">
        <v>136528</v>
      </c>
      <c r="X63" s="18">
        <f t="shared" si="10"/>
        <v>7.7208696079320051E-3</v>
      </c>
      <c r="Y63" s="1"/>
      <c r="Z63" s="1"/>
      <c r="AA63" s="1"/>
    </row>
    <row r="64" spans="1:27" ht="45">
      <c r="A64" s="11" t="s">
        <v>88</v>
      </c>
      <c r="B64" s="27" t="s">
        <v>89</v>
      </c>
      <c r="C64" s="27" t="s">
        <v>73</v>
      </c>
      <c r="D64" s="27" t="s">
        <v>74</v>
      </c>
      <c r="E64" s="12" t="s">
        <v>52</v>
      </c>
      <c r="F64" s="12" t="s">
        <v>119</v>
      </c>
      <c r="G64" s="27" t="s">
        <v>54</v>
      </c>
      <c r="H64" s="27" t="s">
        <v>92</v>
      </c>
      <c r="I64" s="12" t="s">
        <v>93</v>
      </c>
      <c r="J64" s="13">
        <v>3</v>
      </c>
      <c r="K64" s="24">
        <v>4460804</v>
      </c>
      <c r="L64" s="15">
        <v>5585</v>
      </c>
      <c r="M64" s="14">
        <v>5585</v>
      </c>
      <c r="N64" s="16">
        <f t="shared" si="6"/>
        <v>4460804</v>
      </c>
      <c r="O64" s="17"/>
      <c r="P64" s="17"/>
      <c r="Q64" s="17"/>
      <c r="R64" s="16">
        <f t="shared" si="7"/>
        <v>4460804</v>
      </c>
      <c r="S64" s="14">
        <v>1021731.17</v>
      </c>
      <c r="T64" s="18">
        <f t="shared" si="8"/>
        <v>0.22904641629625513</v>
      </c>
      <c r="U64" s="19">
        <v>610454.44999999995</v>
      </c>
      <c r="V64" s="18">
        <f t="shared" si="9"/>
        <v>0.13684852551244125</v>
      </c>
      <c r="W64" s="15">
        <v>609362.15</v>
      </c>
      <c r="X64" s="18">
        <f t="shared" si="10"/>
        <v>0.13660365934033417</v>
      </c>
      <c r="Y64" s="1"/>
      <c r="Z64" s="1"/>
      <c r="AA64" s="1"/>
    </row>
    <row r="65" spans="1:27" ht="45">
      <c r="A65" s="11" t="s">
        <v>88</v>
      </c>
      <c r="B65" s="27" t="s">
        <v>89</v>
      </c>
      <c r="C65" s="27" t="s">
        <v>73</v>
      </c>
      <c r="D65" s="27" t="s">
        <v>76</v>
      </c>
      <c r="E65" s="12" t="s">
        <v>52</v>
      </c>
      <c r="F65" s="12" t="s">
        <v>77</v>
      </c>
      <c r="G65" s="27" t="s">
        <v>54</v>
      </c>
      <c r="H65" s="27" t="s">
        <v>92</v>
      </c>
      <c r="I65" s="12" t="s">
        <v>93</v>
      </c>
      <c r="J65" s="13">
        <v>3</v>
      </c>
      <c r="K65" s="24">
        <v>3500000</v>
      </c>
      <c r="L65" s="15">
        <v>4600</v>
      </c>
      <c r="M65" s="14">
        <v>0</v>
      </c>
      <c r="N65" s="16">
        <f t="shared" si="6"/>
        <v>3504600</v>
      </c>
      <c r="O65" s="17"/>
      <c r="P65" s="17"/>
      <c r="Q65" s="17"/>
      <c r="R65" s="16">
        <f t="shared" si="7"/>
        <v>3504600</v>
      </c>
      <c r="S65" s="14">
        <v>3504600</v>
      </c>
      <c r="T65" s="18">
        <f t="shared" si="8"/>
        <v>1</v>
      </c>
      <c r="U65" s="19">
        <v>4600</v>
      </c>
      <c r="V65" s="18">
        <f t="shared" si="9"/>
        <v>1.3125606345945329E-3</v>
      </c>
      <c r="W65" s="15">
        <v>4600</v>
      </c>
      <c r="X65" s="18">
        <f t="shared" si="10"/>
        <v>1.3125606345945329E-3</v>
      </c>
      <c r="Y65" s="1"/>
      <c r="Z65" s="1"/>
      <c r="AA65" s="1"/>
    </row>
    <row r="66" spans="1:27" ht="45">
      <c r="A66" s="11" t="s">
        <v>88</v>
      </c>
      <c r="B66" s="27" t="s">
        <v>89</v>
      </c>
      <c r="C66" s="27" t="s">
        <v>73</v>
      </c>
      <c r="D66" s="27" t="s">
        <v>76</v>
      </c>
      <c r="E66" s="12" t="s">
        <v>67</v>
      </c>
      <c r="F66" s="27" t="s">
        <v>77</v>
      </c>
      <c r="G66" s="27" t="s">
        <v>54</v>
      </c>
      <c r="H66" s="27" t="s">
        <v>120</v>
      </c>
      <c r="I66" s="12" t="s">
        <v>121</v>
      </c>
      <c r="J66" s="13">
        <v>3</v>
      </c>
      <c r="K66" s="24">
        <v>950000</v>
      </c>
      <c r="L66" s="15">
        <v>179545</v>
      </c>
      <c r="M66" s="15">
        <v>179545</v>
      </c>
      <c r="N66" s="16">
        <f t="shared" si="6"/>
        <v>950000</v>
      </c>
      <c r="O66" s="17"/>
      <c r="P66" s="17"/>
      <c r="Q66" s="17"/>
      <c r="R66" s="16">
        <f t="shared" si="7"/>
        <v>950000</v>
      </c>
      <c r="S66" s="14">
        <v>801978.8</v>
      </c>
      <c r="T66" s="18">
        <f t="shared" si="8"/>
        <v>0.84418821052631587</v>
      </c>
      <c r="U66" s="19">
        <v>662752.80000000005</v>
      </c>
      <c r="V66" s="18">
        <v>0</v>
      </c>
      <c r="W66" s="15">
        <v>658851.65</v>
      </c>
      <c r="X66" s="18">
        <f t="shared" si="10"/>
        <v>0.69352805263157902</v>
      </c>
      <c r="Y66" s="1"/>
      <c r="Z66" s="1"/>
      <c r="AA66" s="1"/>
    </row>
    <row r="67" spans="1:27" ht="45">
      <c r="A67" s="11" t="s">
        <v>88</v>
      </c>
      <c r="B67" s="27" t="s">
        <v>89</v>
      </c>
      <c r="C67" s="27" t="s">
        <v>73</v>
      </c>
      <c r="D67" s="27" t="s">
        <v>76</v>
      </c>
      <c r="E67" s="12" t="s">
        <v>67</v>
      </c>
      <c r="F67" s="27" t="s">
        <v>77</v>
      </c>
      <c r="G67" s="27" t="s">
        <v>54</v>
      </c>
      <c r="H67" s="27" t="s">
        <v>122</v>
      </c>
      <c r="I67" s="12" t="s">
        <v>121</v>
      </c>
      <c r="J67" s="13">
        <v>3</v>
      </c>
      <c r="K67" s="24">
        <v>0</v>
      </c>
      <c r="L67" s="15">
        <v>1887920</v>
      </c>
      <c r="M67" s="15">
        <v>0</v>
      </c>
      <c r="N67" s="16">
        <f t="shared" si="6"/>
        <v>1887920</v>
      </c>
      <c r="O67" s="17"/>
      <c r="P67" s="17"/>
      <c r="Q67" s="17"/>
      <c r="R67" s="16">
        <f t="shared" si="7"/>
        <v>1887920</v>
      </c>
      <c r="S67" s="14">
        <v>834492.87</v>
      </c>
      <c r="T67" s="18">
        <f t="shared" si="8"/>
        <v>0.44201707169795329</v>
      </c>
      <c r="U67" s="19">
        <v>85915</v>
      </c>
      <c r="V67" s="18">
        <v>0</v>
      </c>
      <c r="W67" s="15">
        <v>81029.350000000006</v>
      </c>
      <c r="X67" s="18">
        <f t="shared" si="10"/>
        <v>4.2919906563837457E-2</v>
      </c>
      <c r="Y67" s="1"/>
      <c r="Z67" s="1"/>
      <c r="AA67" s="1"/>
    </row>
    <row r="68" spans="1:27" ht="15.75" customHeight="1">
      <c r="A68" s="70" t="s">
        <v>123</v>
      </c>
      <c r="B68" s="52"/>
      <c r="C68" s="52"/>
      <c r="D68" s="52"/>
      <c r="E68" s="52"/>
      <c r="F68" s="52"/>
      <c r="G68" s="52"/>
      <c r="H68" s="52"/>
      <c r="I68" s="52"/>
      <c r="J68" s="53"/>
      <c r="K68" s="29">
        <f t="shared" ref="K68:N68" si="11">SUM(K31:K67)</f>
        <v>317386000</v>
      </c>
      <c r="L68" s="29">
        <f t="shared" si="11"/>
        <v>164183011.43000001</v>
      </c>
      <c r="M68" s="29">
        <f t="shared" si="11"/>
        <v>19026791.910000004</v>
      </c>
      <c r="N68" s="29">
        <f t="shared" si="11"/>
        <v>462542219.51999998</v>
      </c>
      <c r="O68" s="29">
        <f t="shared" ref="O68:Q68" si="12">SUM(O31:O66)</f>
        <v>0</v>
      </c>
      <c r="P68" s="29">
        <f t="shared" si="12"/>
        <v>0</v>
      </c>
      <c r="Q68" s="29">
        <f t="shared" si="12"/>
        <v>0</v>
      </c>
      <c r="R68" s="29">
        <f t="shared" ref="R68:S68" si="13">SUM(R31:R67)</f>
        <v>462542219.51999998</v>
      </c>
      <c r="S68" s="29">
        <f t="shared" si="13"/>
        <v>376718610.90000015</v>
      </c>
      <c r="T68" s="30">
        <f t="shared" si="8"/>
        <v>0.81445237861948538</v>
      </c>
      <c r="U68" s="29">
        <f>SUM(U31:U67)</f>
        <v>158495902.72000003</v>
      </c>
      <c r="V68" s="30">
        <f t="shared" ref="V68:V69" si="14">IF(R68&gt;0,U68/R68,0)</f>
        <v>0.34266256361306446</v>
      </c>
      <c r="W68" s="29">
        <f>SUM(W31:W67)</f>
        <v>157765392.28999999</v>
      </c>
      <c r="X68" s="30">
        <f t="shared" si="10"/>
        <v>0.34108322577281691</v>
      </c>
      <c r="Y68" s="1"/>
      <c r="Z68" s="1"/>
      <c r="AA68" s="1"/>
    </row>
    <row r="69" spans="1:27" ht="15.75" customHeight="1">
      <c r="A69" s="71" t="s">
        <v>124</v>
      </c>
      <c r="B69" s="52"/>
      <c r="C69" s="52"/>
      <c r="D69" s="52"/>
      <c r="E69" s="52"/>
      <c r="F69" s="52"/>
      <c r="G69" s="52"/>
      <c r="H69" s="52"/>
      <c r="I69" s="52"/>
      <c r="J69" s="53"/>
      <c r="K69" s="40">
        <f t="shared" ref="K69:S69" si="15">SUM(K28+K68)</f>
        <v>1589953000</v>
      </c>
      <c r="L69" s="40">
        <f t="shared" si="15"/>
        <v>250949824.44</v>
      </c>
      <c r="M69" s="40">
        <f t="shared" si="15"/>
        <v>75793604.920000002</v>
      </c>
      <c r="N69" s="41">
        <f t="shared" si="15"/>
        <v>1765109219.52</v>
      </c>
      <c r="O69" s="41">
        <f t="shared" si="15"/>
        <v>0</v>
      </c>
      <c r="P69" s="41">
        <f t="shared" si="15"/>
        <v>0</v>
      </c>
      <c r="Q69" s="41">
        <f t="shared" si="15"/>
        <v>-57371104.509999998</v>
      </c>
      <c r="R69" s="41">
        <f t="shared" si="15"/>
        <v>1707738115.01</v>
      </c>
      <c r="S69" s="41">
        <f t="shared" si="15"/>
        <v>1026573633.2800002</v>
      </c>
      <c r="T69" s="42">
        <f t="shared" si="8"/>
        <v>0.60113059740075481</v>
      </c>
      <c r="U69" s="41">
        <f>SUM(U28+U68)</f>
        <v>761077334.34000015</v>
      </c>
      <c r="V69" s="42">
        <f t="shared" si="14"/>
        <v>0.44566396196851499</v>
      </c>
      <c r="W69" s="41">
        <f>SUM(W28+W68)</f>
        <v>533336085.53999996</v>
      </c>
      <c r="X69" s="42">
        <f t="shared" si="10"/>
        <v>0.31230554664810356</v>
      </c>
      <c r="Y69" s="21"/>
      <c r="Z69" s="1"/>
      <c r="AA69" s="1"/>
    </row>
    <row r="70" spans="1:27" ht="15.75" customHeight="1">
      <c r="A70" s="43" t="s">
        <v>125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"/>
      <c r="Z70" s="1"/>
      <c r="AA70" s="1"/>
    </row>
    <row r="71" spans="1:27" ht="15.75" customHeight="1">
      <c r="A71" s="43" t="s">
        <v>126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"/>
      <c r="Z71" s="45"/>
      <c r="AA71" s="1"/>
    </row>
    <row r="72" spans="1:27" ht="15.75" customHeight="1">
      <c r="A72" s="72" t="s">
        <v>127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"/>
      <c r="Z72" s="45"/>
      <c r="AA72" s="1"/>
    </row>
    <row r="73" spans="1:27" ht="15.75" customHeight="1">
      <c r="A73" s="1"/>
      <c r="B73" s="1"/>
      <c r="C73" s="46"/>
      <c r="D73" s="47"/>
      <c r="E73" s="1"/>
      <c r="F73" s="46"/>
      <c r="G73" s="48"/>
      <c r="H73" s="1"/>
      <c r="I73" s="1"/>
      <c r="J73" s="1"/>
      <c r="K73" s="1"/>
      <c r="L73" s="1"/>
      <c r="M73" s="1"/>
      <c r="N73" s="1"/>
      <c r="O73" s="1"/>
      <c r="P73" s="1"/>
      <c r="Q73" s="1"/>
      <c r="R73" s="28"/>
      <c r="S73" s="1"/>
      <c r="T73" s="1"/>
      <c r="U73" s="49"/>
      <c r="V73" s="1"/>
      <c r="W73" s="28"/>
      <c r="X73" s="28"/>
      <c r="Y73" s="28"/>
      <c r="Z73" s="1"/>
      <c r="AA73" s="1"/>
    </row>
    <row r="74" spans="1:27" ht="15.75" customHeight="1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49"/>
      <c r="N75" s="1"/>
      <c r="O75" s="1"/>
      <c r="P75" s="1"/>
      <c r="Q75" s="1"/>
      <c r="R75" s="75"/>
      <c r="S75" s="76"/>
      <c r="T75" s="77"/>
      <c r="U75" s="75"/>
      <c r="V75" s="77"/>
      <c r="W75" s="78"/>
      <c r="X75" s="79"/>
      <c r="Y75" s="80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81"/>
      <c r="S76" s="82"/>
      <c r="T76" s="78"/>
      <c r="U76" s="83"/>
      <c r="V76" s="82"/>
      <c r="W76" s="78"/>
      <c r="X76" s="84"/>
      <c r="Y76" s="80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81"/>
      <c r="S77" s="82"/>
      <c r="T77" s="77"/>
      <c r="U77" s="83"/>
      <c r="V77" s="82"/>
      <c r="W77" s="78"/>
      <c r="X77" s="84"/>
      <c r="Y77" s="80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6"/>
      <c r="M78" s="48"/>
      <c r="N78" s="49"/>
      <c r="O78" s="1"/>
      <c r="P78" s="1"/>
      <c r="Q78" s="1"/>
      <c r="R78" s="81"/>
      <c r="S78" s="82"/>
      <c r="T78" s="77"/>
      <c r="U78" s="83"/>
      <c r="V78" s="82"/>
      <c r="W78" s="78"/>
      <c r="X78" s="84"/>
      <c r="Y78" s="80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46"/>
      <c r="M79" s="48"/>
      <c r="N79" s="1"/>
      <c r="O79" s="1"/>
      <c r="P79" s="1"/>
      <c r="Q79" s="1"/>
      <c r="R79" s="85"/>
      <c r="S79" s="86"/>
      <c r="T79" s="78"/>
      <c r="U79" s="87"/>
      <c r="V79" s="86"/>
      <c r="W79" s="78"/>
      <c r="X79" s="78"/>
      <c r="Y79" s="80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8"/>
      <c r="O80" s="1"/>
      <c r="P80" s="1"/>
      <c r="Q80" s="1"/>
      <c r="R80" s="80"/>
      <c r="S80" s="80"/>
      <c r="T80" s="80"/>
      <c r="U80" s="80"/>
      <c r="V80" s="80"/>
      <c r="W80" s="80"/>
      <c r="X80" s="80"/>
      <c r="Y80" s="80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49"/>
      <c r="N81" s="1"/>
      <c r="O81" s="1"/>
      <c r="P81" s="1"/>
      <c r="Q81" s="1"/>
      <c r="R81" s="80"/>
      <c r="S81" s="80"/>
      <c r="T81" s="80"/>
      <c r="U81" s="80"/>
      <c r="V81" s="80"/>
      <c r="W81" s="80"/>
      <c r="X81" s="80"/>
      <c r="Y81" s="80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49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1"/>
      <c r="W85" s="1"/>
      <c r="X85" s="28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1"/>
      <c r="W86" s="1"/>
      <c r="X86" s="50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28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/>
    <row r="260" spans="1:27" ht="15.75" customHeight="1"/>
    <row r="261" spans="1:27" ht="15.75" customHeight="1"/>
    <row r="262" spans="1:27" ht="15.75" customHeight="1"/>
    <row r="263" spans="1:27" ht="15.75" customHeight="1"/>
    <row r="264" spans="1:27" ht="15.75" customHeight="1"/>
    <row r="265" spans="1:27" ht="15.75" customHeight="1"/>
    <row r="266" spans="1:27" ht="15.75" customHeight="1"/>
    <row r="267" spans="1:27" ht="15.75" customHeight="1"/>
    <row r="268" spans="1:27" ht="15.75" customHeight="1"/>
    <row r="269" spans="1:27" ht="15.75" customHeight="1"/>
    <row r="270" spans="1:27" ht="15.75" customHeight="1"/>
    <row r="271" spans="1:27" ht="15.75" customHeight="1"/>
    <row r="272" spans="1:2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U79:V79"/>
    <mergeCell ref="A8:F8"/>
    <mergeCell ref="A9:X9"/>
    <mergeCell ref="K11:K12"/>
    <mergeCell ref="L11:M11"/>
    <mergeCell ref="N11:N12"/>
    <mergeCell ref="O11:O12"/>
    <mergeCell ref="S11:X11"/>
    <mergeCell ref="J12:J13"/>
    <mergeCell ref="A28:J28"/>
    <mergeCell ref="A68:J68"/>
    <mergeCell ref="A69:J69"/>
    <mergeCell ref="A72:M72"/>
    <mergeCell ref="A11:J11"/>
    <mergeCell ref="A12:B12"/>
    <mergeCell ref="C12:C13"/>
    <mergeCell ref="A6:F6"/>
    <mergeCell ref="A7:F7"/>
    <mergeCell ref="P11:Q11"/>
    <mergeCell ref="R11:R12"/>
    <mergeCell ref="R79:S79"/>
    <mergeCell ref="D12:D13"/>
    <mergeCell ref="E12:F12"/>
    <mergeCell ref="G12:G13"/>
    <mergeCell ref="H12:I12"/>
    <mergeCell ref="A1:F1"/>
    <mergeCell ref="A2:F2"/>
    <mergeCell ref="A3:F3"/>
    <mergeCell ref="A4:F4"/>
    <mergeCell ref="A5:F5"/>
  </mergeCells>
  <printOptions horizontalCentered="1"/>
  <pageMargins left="0.7" right="0.7" top="0.75" bottom="0.75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daniel.moreira</cp:lastModifiedBy>
  <dcterms:modified xsi:type="dcterms:W3CDTF">2026-08-17T18:35:29Z</dcterms:modified>
</cp:coreProperties>
</file>