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9150"/>
  </bookViews>
  <sheets>
    <sheet name="JULHO" sheetId="7" r:id="rId1"/>
  </sheets>
  <calcPr calcId="125725"/>
</workbook>
</file>

<file path=xl/calcChain.xml><?xml version="1.0" encoding="utf-8"?>
<calcChain xmlns="http://schemas.openxmlformats.org/spreadsheetml/2006/main">
  <c r="Q58" i="7"/>
  <c r="P58"/>
  <c r="O58"/>
  <c r="R57"/>
  <c r="V57" s="1"/>
  <c r="N57"/>
  <c r="N56"/>
  <c r="R56" s="1"/>
  <c r="N55"/>
  <c r="R55" s="1"/>
  <c r="X54"/>
  <c r="V54"/>
  <c r="T54"/>
  <c r="R54"/>
  <c r="N54"/>
  <c r="X53"/>
  <c r="V53"/>
  <c r="T53"/>
  <c r="R53"/>
  <c r="N53"/>
  <c r="K53"/>
  <c r="X52"/>
  <c r="V52"/>
  <c r="T52"/>
  <c r="R52"/>
  <c r="N52"/>
  <c r="M52"/>
  <c r="K52"/>
  <c r="W51"/>
  <c r="W50" s="1"/>
  <c r="U51"/>
  <c r="S51"/>
  <c r="S50" s="1"/>
  <c r="R51"/>
  <c r="T51" s="1"/>
  <c r="N51"/>
  <c r="L51"/>
  <c r="K51"/>
  <c r="U50"/>
  <c r="L50"/>
  <c r="K50"/>
  <c r="N50" s="1"/>
  <c r="R50" s="1"/>
  <c r="N49"/>
  <c r="R49" s="1"/>
  <c r="N48"/>
  <c r="R48" s="1"/>
  <c r="W47"/>
  <c r="N47"/>
  <c r="R47" s="1"/>
  <c r="W46"/>
  <c r="W45" s="1"/>
  <c r="X45" s="1"/>
  <c r="U46"/>
  <c r="S46"/>
  <c r="S45" s="1"/>
  <c r="R46"/>
  <c r="T46" s="1"/>
  <c r="N46"/>
  <c r="U45"/>
  <c r="R45"/>
  <c r="N45"/>
  <c r="K45"/>
  <c r="X44"/>
  <c r="V44"/>
  <c r="T44"/>
  <c r="R44"/>
  <c r="N44"/>
  <c r="T43"/>
  <c r="R43"/>
  <c r="V43" s="1"/>
  <c r="N43"/>
  <c r="R42"/>
  <c r="V42" s="1"/>
  <c r="N42"/>
  <c r="N41"/>
  <c r="R41" s="1"/>
  <c r="K41"/>
  <c r="N40"/>
  <c r="R40" s="1"/>
  <c r="N39"/>
  <c r="R39" s="1"/>
  <c r="X38"/>
  <c r="V38"/>
  <c r="T38"/>
  <c r="R38"/>
  <c r="N38"/>
  <c r="X37"/>
  <c r="V37"/>
  <c r="T37"/>
  <c r="R37"/>
  <c r="N37"/>
  <c r="W36"/>
  <c r="W35" s="1"/>
  <c r="U36"/>
  <c r="S36"/>
  <c r="M36"/>
  <c r="L36"/>
  <c r="K36"/>
  <c r="U35"/>
  <c r="U58" s="1"/>
  <c r="S35"/>
  <c r="L35"/>
  <c r="K35"/>
  <c r="N34"/>
  <c r="R34" s="1"/>
  <c r="N33"/>
  <c r="R33" s="1"/>
  <c r="X32"/>
  <c r="V32"/>
  <c r="T32"/>
  <c r="R32"/>
  <c r="N32"/>
  <c r="X31"/>
  <c r="V31"/>
  <c r="T31"/>
  <c r="R31"/>
  <c r="N31"/>
  <c r="V30"/>
  <c r="T30"/>
  <c r="R30"/>
  <c r="X30" s="1"/>
  <c r="N30"/>
  <c r="P27"/>
  <c r="P59" s="1"/>
  <c r="O27"/>
  <c r="O59" s="1"/>
  <c r="M27"/>
  <c r="L27"/>
  <c r="X26"/>
  <c r="V26"/>
  <c r="T26"/>
  <c r="R26"/>
  <c r="N26"/>
  <c r="W25"/>
  <c r="W24" s="1"/>
  <c r="U25"/>
  <c r="U24" s="1"/>
  <c r="S25"/>
  <c r="K25"/>
  <c r="N25" s="1"/>
  <c r="R25" s="1"/>
  <c r="S24"/>
  <c r="S27" s="1"/>
  <c r="Q24"/>
  <c r="Q27" s="1"/>
  <c r="Q59" s="1"/>
  <c r="L24"/>
  <c r="X23"/>
  <c r="V23"/>
  <c r="T23"/>
  <c r="R23"/>
  <c r="N23"/>
  <c r="X22"/>
  <c r="V22"/>
  <c r="T22"/>
  <c r="R22"/>
  <c r="N22"/>
  <c r="T21"/>
  <c r="R21"/>
  <c r="V21" s="1"/>
  <c r="N21"/>
  <c r="R20"/>
  <c r="V20" s="1"/>
  <c r="N20"/>
  <c r="N19"/>
  <c r="R19" s="1"/>
  <c r="N18"/>
  <c r="R18" s="1"/>
  <c r="X17"/>
  <c r="V17"/>
  <c r="T17"/>
  <c r="R17"/>
  <c r="N17"/>
  <c r="X16"/>
  <c r="V16"/>
  <c r="T16"/>
  <c r="R16"/>
  <c r="N16"/>
  <c r="T15"/>
  <c r="R15"/>
  <c r="X15" s="1"/>
  <c r="N15"/>
  <c r="R14"/>
  <c r="N14"/>
  <c r="R27" l="1"/>
  <c r="X27" s="1"/>
  <c r="T19"/>
  <c r="V19"/>
  <c r="X19"/>
  <c r="T18"/>
  <c r="V18"/>
  <c r="X18"/>
  <c r="T34"/>
  <c r="V34"/>
  <c r="X34"/>
  <c r="T41"/>
  <c r="V41"/>
  <c r="X41"/>
  <c r="T50"/>
  <c r="V50"/>
  <c r="X50"/>
  <c r="W27"/>
  <c r="T33"/>
  <c r="V33"/>
  <c r="X33"/>
  <c r="T49"/>
  <c r="V49"/>
  <c r="X49"/>
  <c r="T27"/>
  <c r="U27"/>
  <c r="U59" s="1"/>
  <c r="T40"/>
  <c r="V40"/>
  <c r="X40"/>
  <c r="T48"/>
  <c r="V48"/>
  <c r="X48"/>
  <c r="W58"/>
  <c r="T39"/>
  <c r="V39"/>
  <c r="X39"/>
  <c r="T47"/>
  <c r="V47"/>
  <c r="X47"/>
  <c r="S59"/>
  <c r="T45"/>
  <c r="S58"/>
  <c r="T56"/>
  <c r="V56"/>
  <c r="X56"/>
  <c r="X25"/>
  <c r="T25"/>
  <c r="V25"/>
  <c r="T55"/>
  <c r="V55"/>
  <c r="X55"/>
  <c r="V15"/>
  <c r="T20"/>
  <c r="M35"/>
  <c r="N35" s="1"/>
  <c r="N36"/>
  <c r="R36" s="1"/>
  <c r="T42"/>
  <c r="T57"/>
  <c r="X14"/>
  <c r="V14"/>
  <c r="X21"/>
  <c r="X43"/>
  <c r="V45"/>
  <c r="T14"/>
  <c r="K24"/>
  <c r="X46"/>
  <c r="X51"/>
  <c r="L58"/>
  <c r="L59" s="1"/>
  <c r="V46"/>
  <c r="V51"/>
  <c r="K58"/>
  <c r="X20"/>
  <c r="X42"/>
  <c r="X57"/>
  <c r="V27" l="1"/>
  <c r="R35"/>
  <c r="N58"/>
  <c r="K27"/>
  <c r="K59" s="1"/>
  <c r="N24"/>
  <c r="W59"/>
  <c r="M58"/>
  <c r="M59" s="1"/>
  <c r="T36"/>
  <c r="V36"/>
  <c r="X36"/>
  <c r="R24" l="1"/>
  <c r="N27"/>
  <c r="N59" s="1"/>
  <c r="T35"/>
  <c r="V35"/>
  <c r="X35"/>
  <c r="R58"/>
  <c r="V58" l="1"/>
  <c r="X58"/>
  <c r="T58"/>
  <c r="R59"/>
  <c r="V24"/>
  <c r="X24"/>
  <c r="T24"/>
  <c r="T59" l="1"/>
  <c r="V59"/>
  <c r="X59"/>
</calcChain>
</file>

<file path=xl/sharedStrings.xml><?xml version="1.0" encoding="utf-8"?>
<sst xmlns="http://schemas.openxmlformats.org/spreadsheetml/2006/main" count="428" uniqueCount="125">
  <si>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</si>
  <si>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</si>
  <si>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</si>
  <si>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</si>
  <si>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</si>
  <si>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</si>
  <si>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</si>
  <si>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</si>
  <si>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</si>
  <si>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</si>
  <si>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</si>
  <si>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</si>
  <si>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</si>
  <si>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</si>
  <si>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</si>
  <si>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</si>
  <si>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</si>
  <si>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</si>
  <si>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</si>
  <si>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</si>
  <si>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</si>
  <si>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</si>
  <si>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</si>
  <si>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</si>
  <si>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</si>
  <si>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</si>
  <si>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</si>
  <si>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</si>
  <si>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</si>
  <si>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</si>
  <si>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</si>
  <si>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</si>
  <si>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</si>
  <si>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</si>
  <si>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</si>
  <si>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</si>
  <si>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</si>
  <si>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</si>
  <si>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</si>
  <si>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</si>
  <si>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</si>
  <si>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</si>
  <si>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</si>
  <si>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</si>
  <si>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</si>
  <si>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</si>
  <si>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</si>
  <si>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</si>
  <si>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</si>
  <si>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</si>
  <si>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</si>
  <si>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</si>
  <si>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</si>
  <si>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</si>
  <si>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</si>
  <si>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</si>
  <si>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</si>
  <si>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</si>
  <si>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</si>
  <si>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</si>
  <si>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</si>
  <si>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</si>
  <si>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</si>
  <si>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</si>
  <si>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</si>
  <si>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</si>
  <si>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</si>
  <si>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</si>
  <si>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</si>
  <si>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</si>
  <si>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</si>
  <si>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</si>
  <si>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</si>
  <si>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</si>
  <si>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</si>
  <si>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</si>
  <si>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</si>
  <si>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</si>
  <si>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</si>
  <si>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</si>
  <si>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</si>
  <si>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</si>
  <si>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</si>
  <si>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</si>
  <si>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</si>
  <si>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</si>
  <si>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</si>
  <si>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</si>
  <si>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</si>
  <si>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</si>
  <si>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</si>
  <si>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</si>
  <si>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</si>
  <si>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</si>
  <si>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</si>
  <si>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</si>
  <si>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</si>
  <si>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</si>
  <si>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</si>
  <si>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</si>
  <si>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</si>
  <si>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</si>
  <si>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</si>
  <si>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</si>
  <si>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</si>
  <si>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</si>
  <si>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</si>
  <si>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</si>
  <si>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</si>
  <si>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</si>
  <si>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</si>
  <si>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</si>
  <si>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</si>
  <si>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</si>
  <si>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</si>
  <si>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</si>
  <si>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</si>
  <si>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</si>
  <si>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</si>
  <si>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</si>
  <si>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Responsável pela Informação: SECRETÁRIA DE ORÇAMENTO E FINANÇAS</t>
  </si>
  <si>
    <t>2.759.201.0.0000.0000</t>
  </si>
  <si>
    <t>2.759.285.0.0000.0000</t>
  </si>
  <si>
    <t>Mês de Referência: 07/2025</t>
  </si>
  <si>
    <t>Data da Publicação: 14/08/2025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</si>
</sst>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0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</fills>
  <borders count="1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4" fontId="3" fillId="2" borderId="4" xfId="0" applyNumberFormat="1" applyFont="1" applyFill="1" applyBorder="1" applyAlignment="1"/>
    <xf numFmtId="4" fontId="3" fillId="0" borderId="0" xfId="0" applyNumberFormat="1" applyFont="1" applyAlignment="1"/>
    <xf numFmtId="49" fontId="5" fillId="0" borderId="12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17" xfId="0" applyFont="1" applyFill="1" applyBorder="1" applyAlignment="1"/>
    <xf numFmtId="166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/>
    <xf numFmtId="0" fontId="3" fillId="0" borderId="0" xfId="0" applyFont="1" applyFill="1"/>
    <xf numFmtId="0" fontId="8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166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17" xfId="0" applyFont="1" applyFill="1" applyBorder="1" applyAlignment="1">
      <alignment horizontal="right"/>
    </xf>
    <xf numFmtId="166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/>
    <xf numFmtId="0" fontId="3" fillId="0" borderId="17" xfId="0" applyFont="1" applyBorder="1" applyAlignment="1"/>
    <xf numFmtId="0" fontId="8" fillId="0" borderId="17" xfId="0" applyFont="1" applyFill="1" applyBorder="1" applyAlignment="1">
      <alignment horizontal="center"/>
    </xf>
    <xf numFmtId="0" fontId="3" fillId="0" borderId="17" xfId="0" applyFont="1" applyFill="1" applyBorder="1"/>
    <xf numFmtId="4" fontId="9" fillId="0" borderId="17" xfId="0" applyNumberFormat="1" applyFont="1" applyFill="1" applyBorder="1" applyAlignment="1">
      <alignment horizontal="center"/>
    </xf>
    <xf numFmtId="4" fontId="3" fillId="0" borderId="17" xfId="0" applyNumberFormat="1" applyFont="1" applyBorder="1" applyAlignment="1"/>
    <xf numFmtId="1" fontId="3" fillId="0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center"/>
    </xf>
    <xf numFmtId="164" fontId="8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/>
    <xf numFmtId="164" fontId="3" fillId="0" borderId="17" xfId="0" applyNumberFormat="1" applyFont="1" applyFill="1" applyBorder="1" applyAlignment="1"/>
    <xf numFmtId="164" fontId="4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4"/>
  <sheetViews>
    <sheetView tabSelected="1" workbookViewId="0">
      <selection activeCell="E20" sqref="E20"/>
    </sheetView>
  </sheetViews>
  <sheetFormatPr defaultColWidth="12.5703125" defaultRowHeight="15.75" customHeight="1"/>
  <cols>
    <col min="8" max="8" width="13" customWidth="1"/>
    <col min="25" max="25" width="13.42578125" customWidth="1"/>
  </cols>
  <sheetData>
    <row r="1" spans="1:27">
      <c r="A1" s="61" t="s">
        <v>0</v>
      </c>
      <c r="B1" s="62"/>
      <c r="C1" s="62"/>
      <c r="D1" s="62"/>
      <c r="E1" s="62"/>
      <c r="F1" s="63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64" t="s">
        <v>1</v>
      </c>
      <c r="B2" s="65"/>
      <c r="C2" s="65"/>
      <c r="D2" s="65"/>
      <c r="E2" s="65"/>
      <c r="F2" s="66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64" t="s">
        <v>2</v>
      </c>
      <c r="B3" s="65"/>
      <c r="C3" s="65"/>
      <c r="D3" s="65"/>
      <c r="E3" s="65"/>
      <c r="F3" s="66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67" t="s">
        <v>3</v>
      </c>
      <c r="B4" s="62"/>
      <c r="C4" s="62"/>
      <c r="D4" s="62"/>
      <c r="E4" s="62"/>
      <c r="F4" s="63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82" t="s">
        <v>120</v>
      </c>
      <c r="B5" s="68"/>
      <c r="C5" s="68"/>
      <c r="D5" s="68"/>
      <c r="E5" s="68"/>
      <c r="F5" s="69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67" t="s">
        <v>123</v>
      </c>
      <c r="B6" s="62"/>
      <c r="C6" s="62"/>
      <c r="D6" s="62"/>
      <c r="E6" s="62"/>
      <c r="F6" s="63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70" t="s">
        <v>124</v>
      </c>
      <c r="B7" s="62"/>
      <c r="C7" s="62"/>
      <c r="D7" s="62"/>
      <c r="E7" s="62"/>
      <c r="F7" s="63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74"/>
      <c r="B8" s="68"/>
      <c r="C8" s="68"/>
      <c r="D8" s="68"/>
      <c r="E8" s="68"/>
      <c r="F8" s="68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75" t="s">
        <v>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>
      <c r="A11" s="71" t="s">
        <v>5</v>
      </c>
      <c r="B11" s="62"/>
      <c r="C11" s="62"/>
      <c r="D11" s="62"/>
      <c r="E11" s="62"/>
      <c r="F11" s="62"/>
      <c r="G11" s="62"/>
      <c r="H11" s="62"/>
      <c r="I11" s="62"/>
      <c r="J11" s="63"/>
      <c r="K11" s="72" t="s">
        <v>6</v>
      </c>
      <c r="L11" s="71" t="s">
        <v>7</v>
      </c>
      <c r="M11" s="63"/>
      <c r="N11" s="72" t="s">
        <v>8</v>
      </c>
      <c r="O11" s="72" t="s">
        <v>9</v>
      </c>
      <c r="P11" s="71" t="s">
        <v>10</v>
      </c>
      <c r="Q11" s="63"/>
      <c r="R11" s="72" t="s">
        <v>11</v>
      </c>
      <c r="S11" s="71" t="s">
        <v>12</v>
      </c>
      <c r="T11" s="62"/>
      <c r="U11" s="62"/>
      <c r="V11" s="62"/>
      <c r="W11" s="62"/>
      <c r="X11" s="63"/>
      <c r="Y11" s="1"/>
      <c r="Z11" s="1"/>
      <c r="AA11" s="1"/>
    </row>
    <row r="12" spans="1:27">
      <c r="A12" s="81" t="s">
        <v>13</v>
      </c>
      <c r="B12" s="63"/>
      <c r="C12" s="72" t="s">
        <v>14</v>
      </c>
      <c r="D12" s="72" t="s">
        <v>15</v>
      </c>
      <c r="E12" s="81" t="s">
        <v>16</v>
      </c>
      <c r="F12" s="63"/>
      <c r="G12" s="72" t="s">
        <v>17</v>
      </c>
      <c r="H12" s="81" t="s">
        <v>18</v>
      </c>
      <c r="I12" s="63"/>
      <c r="J12" s="76" t="s">
        <v>19</v>
      </c>
      <c r="K12" s="73"/>
      <c r="L12" s="7" t="s">
        <v>20</v>
      </c>
      <c r="M12" s="7" t="s">
        <v>21</v>
      </c>
      <c r="N12" s="73"/>
      <c r="O12" s="73"/>
      <c r="P12" s="7" t="s">
        <v>22</v>
      </c>
      <c r="Q12" s="7" t="s">
        <v>23</v>
      </c>
      <c r="R12" s="73"/>
      <c r="S12" s="7" t="s">
        <v>24</v>
      </c>
      <c r="T12" s="8" t="s">
        <v>25</v>
      </c>
      <c r="U12" s="7" t="s">
        <v>26</v>
      </c>
      <c r="V12" s="8" t="s">
        <v>25</v>
      </c>
      <c r="W12" s="9" t="s">
        <v>27</v>
      </c>
      <c r="X12" s="8" t="s">
        <v>25</v>
      </c>
      <c r="Y12" s="1"/>
      <c r="Z12" s="1"/>
      <c r="AA12" s="1"/>
    </row>
    <row r="13" spans="1:27">
      <c r="A13" s="10" t="s">
        <v>28</v>
      </c>
      <c r="B13" s="10" t="s">
        <v>16</v>
      </c>
      <c r="C13" s="73"/>
      <c r="D13" s="73"/>
      <c r="E13" s="10" t="s">
        <v>29</v>
      </c>
      <c r="F13" s="10" t="s">
        <v>30</v>
      </c>
      <c r="G13" s="73"/>
      <c r="H13" s="10" t="s">
        <v>28</v>
      </c>
      <c r="I13" s="10" t="s">
        <v>16</v>
      </c>
      <c r="J13" s="73"/>
      <c r="K13" s="7" t="s">
        <v>31</v>
      </c>
      <c r="L13" s="7" t="s">
        <v>32</v>
      </c>
      <c r="M13" s="7" t="s">
        <v>33</v>
      </c>
      <c r="N13" s="7" t="s">
        <v>34</v>
      </c>
      <c r="O13" s="7" t="s">
        <v>35</v>
      </c>
      <c r="P13" s="7" t="s">
        <v>36</v>
      </c>
      <c r="Q13" s="7" t="s">
        <v>37</v>
      </c>
      <c r="R13" s="7" t="s">
        <v>38</v>
      </c>
      <c r="S13" s="7" t="s">
        <v>39</v>
      </c>
      <c r="T13" s="8" t="s">
        <v>40</v>
      </c>
      <c r="U13" s="7" t="s">
        <v>41</v>
      </c>
      <c r="V13" s="8" t="s">
        <v>42</v>
      </c>
      <c r="W13" s="9" t="s">
        <v>43</v>
      </c>
      <c r="X13" s="8" t="s">
        <v>44</v>
      </c>
      <c r="Y13" s="1"/>
      <c r="Z13" s="1"/>
      <c r="AA13" s="1"/>
    </row>
    <row r="14" spans="1:27" ht="36">
      <c r="A14" s="11" t="s">
        <v>45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51</v>
      </c>
      <c r="H14" s="12" t="s">
        <v>52</v>
      </c>
      <c r="I14" s="12" t="s">
        <v>53</v>
      </c>
      <c r="J14" s="13">
        <v>3</v>
      </c>
      <c r="K14" s="14">
        <v>100000</v>
      </c>
      <c r="L14" s="15">
        <v>0</v>
      </c>
      <c r="M14" s="15">
        <v>100000</v>
      </c>
      <c r="N14" s="16">
        <f t="shared" ref="N14:N26" si="0">K14+L14-M14</f>
        <v>0</v>
      </c>
      <c r="O14" s="17"/>
      <c r="P14" s="17"/>
      <c r="Q14" s="17"/>
      <c r="R14" s="16">
        <f t="shared" ref="R14:R26" si="1">N14-O14+P14+Q14</f>
        <v>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 ht="36">
      <c r="A15" s="11" t="s">
        <v>45</v>
      </c>
      <c r="B15" s="12" t="s">
        <v>46</v>
      </c>
      <c r="C15" s="12" t="s">
        <v>47</v>
      </c>
      <c r="D15" s="12" t="s">
        <v>54</v>
      </c>
      <c r="E15" s="12" t="s">
        <v>49</v>
      </c>
      <c r="F15" s="12" t="s">
        <v>55</v>
      </c>
      <c r="G15" s="12" t="s">
        <v>51</v>
      </c>
      <c r="H15" s="12" t="s">
        <v>52</v>
      </c>
      <c r="I15" s="12" t="s">
        <v>53</v>
      </c>
      <c r="J15" s="13">
        <v>3</v>
      </c>
      <c r="K15" s="14">
        <v>84417500</v>
      </c>
      <c r="L15" s="15">
        <v>0</v>
      </c>
      <c r="M15" s="15">
        <v>7405000</v>
      </c>
      <c r="N15" s="16">
        <f t="shared" si="0"/>
        <v>77012500</v>
      </c>
      <c r="O15" s="20"/>
      <c r="P15" s="17"/>
      <c r="Q15" s="17"/>
      <c r="R15" s="16">
        <f t="shared" si="1"/>
        <v>77012500</v>
      </c>
      <c r="S15" s="15">
        <v>45503390.590000004</v>
      </c>
      <c r="T15" s="18">
        <f t="shared" si="2"/>
        <v>0.59085720616783</v>
      </c>
      <c r="U15" s="19">
        <v>41836207.030000001</v>
      </c>
      <c r="V15" s="18">
        <f t="shared" si="3"/>
        <v>0.54323917584807657</v>
      </c>
      <c r="W15" s="15">
        <v>41836207.030000001</v>
      </c>
      <c r="X15" s="18">
        <f t="shared" si="4"/>
        <v>0.54323917584807657</v>
      </c>
      <c r="Y15" s="21"/>
      <c r="Z15" s="1"/>
      <c r="AA15" s="1"/>
    </row>
    <row r="16" spans="1:27" ht="36">
      <c r="A16" s="11" t="s">
        <v>45</v>
      </c>
      <c r="B16" s="12" t="s">
        <v>46</v>
      </c>
      <c r="C16" s="12" t="s">
        <v>47</v>
      </c>
      <c r="D16" s="12" t="s">
        <v>56</v>
      </c>
      <c r="E16" s="12" t="s">
        <v>49</v>
      </c>
      <c r="F16" s="12" t="s">
        <v>57</v>
      </c>
      <c r="G16" s="12" t="s">
        <v>51</v>
      </c>
      <c r="H16" s="12" t="s">
        <v>52</v>
      </c>
      <c r="I16" s="12" t="s">
        <v>53</v>
      </c>
      <c r="J16" s="22">
        <v>1</v>
      </c>
      <c r="K16" s="14">
        <v>509048274</v>
      </c>
      <c r="L16" s="15">
        <v>5973381.9299999997</v>
      </c>
      <c r="M16" s="15">
        <v>5973381.9299999997</v>
      </c>
      <c r="N16" s="16">
        <f t="shared" si="0"/>
        <v>509048274</v>
      </c>
      <c r="O16" s="17"/>
      <c r="P16" s="17"/>
      <c r="Q16" s="17"/>
      <c r="R16" s="16">
        <f t="shared" si="1"/>
        <v>509048274</v>
      </c>
      <c r="S16" s="15">
        <v>310702752.13</v>
      </c>
      <c r="T16" s="18">
        <f t="shared" si="2"/>
        <v>0.6103600935301472</v>
      </c>
      <c r="U16" s="23">
        <v>307439321.76999998</v>
      </c>
      <c r="V16" s="18">
        <f t="shared" si="3"/>
        <v>0.60394924700206332</v>
      </c>
      <c r="W16" s="15">
        <v>292836740.01999998</v>
      </c>
      <c r="X16" s="18">
        <f t="shared" si="4"/>
        <v>0.57526320189428637</v>
      </c>
      <c r="Y16" s="1"/>
      <c r="Z16" s="1"/>
      <c r="AA16" s="1"/>
    </row>
    <row r="17" spans="1:27" ht="45">
      <c r="A17" s="11" t="s">
        <v>45</v>
      </c>
      <c r="B17" s="12" t="s">
        <v>46</v>
      </c>
      <c r="C17" s="12" t="s">
        <v>47</v>
      </c>
      <c r="D17" s="12" t="s">
        <v>58</v>
      </c>
      <c r="E17" s="12" t="s">
        <v>59</v>
      </c>
      <c r="F17" s="12" t="s">
        <v>60</v>
      </c>
      <c r="G17" s="12" t="s">
        <v>51</v>
      </c>
      <c r="H17" s="12" t="s">
        <v>52</v>
      </c>
      <c r="I17" s="12" t="s">
        <v>53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16667089.060000001</v>
      </c>
      <c r="T17" s="18">
        <f t="shared" si="2"/>
        <v>0.67175125385911316</v>
      </c>
      <c r="U17" s="19">
        <v>16664563.779999999</v>
      </c>
      <c r="V17" s="18">
        <f t="shared" si="3"/>
        <v>0.67164947483817916</v>
      </c>
      <c r="W17" s="15">
        <v>16664563.779999999</v>
      </c>
      <c r="X17" s="18">
        <f t="shared" si="4"/>
        <v>0.67164947483817916</v>
      </c>
      <c r="Y17" s="1"/>
      <c r="Z17" s="1"/>
      <c r="AA17" s="1"/>
    </row>
    <row r="18" spans="1:27" ht="45">
      <c r="A18" s="11" t="s">
        <v>45</v>
      </c>
      <c r="B18" s="12" t="s">
        <v>46</v>
      </c>
      <c r="C18" s="12" t="s">
        <v>47</v>
      </c>
      <c r="D18" s="12" t="s">
        <v>61</v>
      </c>
      <c r="E18" s="12" t="s">
        <v>59</v>
      </c>
      <c r="F18" s="12" t="s">
        <v>62</v>
      </c>
      <c r="G18" s="12" t="s">
        <v>51</v>
      </c>
      <c r="H18" s="12" t="s">
        <v>52</v>
      </c>
      <c r="I18" s="12" t="s">
        <v>53</v>
      </c>
      <c r="J18" s="13">
        <v>3</v>
      </c>
      <c r="K18" s="14">
        <v>50000</v>
      </c>
      <c r="L18" s="15">
        <v>0</v>
      </c>
      <c r="M18" s="15">
        <v>22924.43</v>
      </c>
      <c r="N18" s="16">
        <f t="shared" si="0"/>
        <v>27075.57</v>
      </c>
      <c r="O18" s="17"/>
      <c r="P18" s="17"/>
      <c r="Q18" s="17"/>
      <c r="R18" s="16">
        <f t="shared" si="1"/>
        <v>27075.57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 ht="45">
      <c r="A19" s="11" t="s">
        <v>45</v>
      </c>
      <c r="B19" s="12" t="s">
        <v>46</v>
      </c>
      <c r="C19" s="12" t="s">
        <v>47</v>
      </c>
      <c r="D19" s="12" t="s">
        <v>63</v>
      </c>
      <c r="E19" s="12" t="s">
        <v>59</v>
      </c>
      <c r="F19" s="12" t="s">
        <v>64</v>
      </c>
      <c r="G19" s="12" t="s">
        <v>51</v>
      </c>
      <c r="H19" s="12" t="s">
        <v>52</v>
      </c>
      <c r="I19" s="12" t="s">
        <v>53</v>
      </c>
      <c r="J19" s="22">
        <v>1</v>
      </c>
      <c r="K19" s="14">
        <v>134637767</v>
      </c>
      <c r="L19" s="15">
        <v>4178053.72</v>
      </c>
      <c r="M19" s="15">
        <v>4178053.72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87896827.370000005</v>
      </c>
      <c r="T19" s="18">
        <f t="shared" si="2"/>
        <v>0.65283931342978974</v>
      </c>
      <c r="U19" s="23">
        <v>85967658.620000005</v>
      </c>
      <c r="V19" s="18">
        <f t="shared" si="3"/>
        <v>0.638510727974269</v>
      </c>
      <c r="W19" s="15">
        <v>82056473.890000001</v>
      </c>
      <c r="X19" s="18">
        <f t="shared" si="4"/>
        <v>0.60946104290336311</v>
      </c>
      <c r="Y19" s="1"/>
      <c r="Z19" s="1"/>
      <c r="AA19" s="1"/>
    </row>
    <row r="20" spans="1:27" ht="45">
      <c r="A20" s="11" t="s">
        <v>45</v>
      </c>
      <c r="B20" s="12" t="s">
        <v>46</v>
      </c>
      <c r="C20" s="12" t="s">
        <v>47</v>
      </c>
      <c r="D20" s="12" t="s">
        <v>65</v>
      </c>
      <c r="E20" s="12" t="s">
        <v>59</v>
      </c>
      <c r="F20" s="12" t="s">
        <v>66</v>
      </c>
      <c r="G20" s="12" t="s">
        <v>51</v>
      </c>
      <c r="H20" s="12" t="s">
        <v>52</v>
      </c>
      <c r="I20" s="12" t="s">
        <v>53</v>
      </c>
      <c r="J20" s="22">
        <v>1</v>
      </c>
      <c r="K20" s="14">
        <v>171339678</v>
      </c>
      <c r="L20" s="15">
        <v>121331.88</v>
      </c>
      <c r="M20" s="15">
        <v>121331.88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97203112.049999997</v>
      </c>
      <c r="T20" s="18">
        <f t="shared" si="2"/>
        <v>0.56731233059746966</v>
      </c>
      <c r="U20" s="23">
        <v>96760486.689999998</v>
      </c>
      <c r="V20" s="18">
        <f t="shared" si="3"/>
        <v>0.56472900976270068</v>
      </c>
      <c r="W20" s="15">
        <v>91847113.670000002</v>
      </c>
      <c r="X20" s="18">
        <f t="shared" si="4"/>
        <v>0.53605279723941124</v>
      </c>
      <c r="Y20" s="1"/>
      <c r="Z20" s="1"/>
      <c r="AA20" s="1"/>
    </row>
    <row r="21" spans="1:27" ht="45">
      <c r="A21" s="11" t="s">
        <v>45</v>
      </c>
      <c r="B21" s="12" t="s">
        <v>46</v>
      </c>
      <c r="C21" s="12" t="s">
        <v>47</v>
      </c>
      <c r="D21" s="12" t="s">
        <v>67</v>
      </c>
      <c r="E21" s="12" t="s">
        <v>59</v>
      </c>
      <c r="F21" s="12" t="s">
        <v>68</v>
      </c>
      <c r="G21" s="12" t="s">
        <v>51</v>
      </c>
      <c r="H21" s="12" t="s">
        <v>52</v>
      </c>
      <c r="I21" s="12" t="s">
        <v>53</v>
      </c>
      <c r="J21" s="13">
        <v>3</v>
      </c>
      <c r="K21" s="14">
        <v>27383200</v>
      </c>
      <c r="L21" s="15">
        <v>19500</v>
      </c>
      <c r="M21" s="15">
        <v>19500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17275005.75</v>
      </c>
      <c r="T21" s="18">
        <f t="shared" si="2"/>
        <v>0.63086146798036757</v>
      </c>
      <c r="U21" s="19">
        <v>17271529.129999999</v>
      </c>
      <c r="V21" s="18">
        <f t="shared" si="3"/>
        <v>0.63073450619357851</v>
      </c>
      <c r="W21" s="15">
        <v>17271529.129999999</v>
      </c>
      <c r="X21" s="18">
        <f t="shared" si="4"/>
        <v>0.63073450619357851</v>
      </c>
      <c r="Y21" s="1"/>
      <c r="Z21" s="1"/>
      <c r="AA21" s="1"/>
    </row>
    <row r="22" spans="1:27" ht="45">
      <c r="A22" s="11" t="s">
        <v>45</v>
      </c>
      <c r="B22" s="12" t="s">
        <v>46</v>
      </c>
      <c r="C22" s="12" t="s">
        <v>69</v>
      </c>
      <c r="D22" s="12" t="s">
        <v>70</v>
      </c>
      <c r="E22" s="12" t="s">
        <v>59</v>
      </c>
      <c r="F22" s="12" t="s">
        <v>71</v>
      </c>
      <c r="G22" s="12" t="s">
        <v>51</v>
      </c>
      <c r="H22" s="12" t="s">
        <v>52</v>
      </c>
      <c r="I22" s="12" t="s">
        <v>53</v>
      </c>
      <c r="J22" s="22">
        <v>1</v>
      </c>
      <c r="K22" s="24">
        <v>367581</v>
      </c>
      <c r="L22" s="15">
        <v>0</v>
      </c>
      <c r="M22" s="15">
        <v>0</v>
      </c>
      <c r="N22" s="16">
        <f t="shared" si="0"/>
        <v>367581</v>
      </c>
      <c r="O22" s="17"/>
      <c r="P22" s="17"/>
      <c r="Q22" s="17"/>
      <c r="R22" s="16">
        <f t="shared" si="1"/>
        <v>367581</v>
      </c>
      <c r="S22" s="14">
        <v>321375</v>
      </c>
      <c r="T22" s="18">
        <f t="shared" si="2"/>
        <v>0.87429709370179631</v>
      </c>
      <c r="U22" s="23">
        <v>321375</v>
      </c>
      <c r="V22" s="18">
        <f t="shared" si="3"/>
        <v>0.87429709370179631</v>
      </c>
      <c r="W22" s="15">
        <v>321375</v>
      </c>
      <c r="X22" s="18">
        <f t="shared" si="4"/>
        <v>0.87429709370179631</v>
      </c>
      <c r="Y22" s="1"/>
      <c r="Z22" s="1"/>
      <c r="AA22" s="1"/>
    </row>
    <row r="23" spans="1:27" ht="45">
      <c r="A23" s="11" t="s">
        <v>45</v>
      </c>
      <c r="B23" s="12" t="s">
        <v>46</v>
      </c>
      <c r="C23" s="12" t="s">
        <v>69</v>
      </c>
      <c r="D23" s="12" t="s">
        <v>72</v>
      </c>
      <c r="E23" s="12" t="s">
        <v>59</v>
      </c>
      <c r="F23" s="12" t="s">
        <v>73</v>
      </c>
      <c r="G23" s="12" t="s">
        <v>51</v>
      </c>
      <c r="H23" s="12" t="s">
        <v>52</v>
      </c>
      <c r="I23" s="12" t="s">
        <v>53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145755</v>
      </c>
      <c r="T23" s="18">
        <f t="shared" si="2"/>
        <v>0.4763235294117647</v>
      </c>
      <c r="U23" s="23">
        <v>145755</v>
      </c>
      <c r="V23" s="18">
        <f t="shared" si="3"/>
        <v>0.4763235294117647</v>
      </c>
      <c r="W23" s="15">
        <v>145755</v>
      </c>
      <c r="X23" s="18">
        <f t="shared" si="4"/>
        <v>0.4763235294117647</v>
      </c>
      <c r="Y23" s="1"/>
      <c r="Z23" s="1"/>
      <c r="AA23" s="1"/>
    </row>
    <row r="24" spans="1:27" ht="36">
      <c r="A24" s="11" t="s">
        <v>45</v>
      </c>
      <c r="B24" s="12" t="s">
        <v>46</v>
      </c>
      <c r="C24" s="12" t="s">
        <v>74</v>
      </c>
      <c r="D24" s="12" t="s">
        <v>75</v>
      </c>
      <c r="E24" s="12" t="s">
        <v>76</v>
      </c>
      <c r="F24" s="12" t="s">
        <v>77</v>
      </c>
      <c r="G24" s="12" t="s">
        <v>78</v>
      </c>
      <c r="H24" s="12" t="s">
        <v>52</v>
      </c>
      <c r="I24" s="12" t="s">
        <v>53</v>
      </c>
      <c r="J24" s="22">
        <v>1</v>
      </c>
      <c r="K24" s="25">
        <f>146328600-K25</f>
        <v>140090700</v>
      </c>
      <c r="L24" s="15">
        <f>37041312-L25</f>
        <v>34936312</v>
      </c>
      <c r="M24" s="15">
        <v>29636312</v>
      </c>
      <c r="N24" s="16">
        <f t="shared" si="0"/>
        <v>145390700</v>
      </c>
      <c r="O24" s="17"/>
      <c r="P24" s="17"/>
      <c r="Q24" s="26">
        <f>-22868668.03-26181378.03</f>
        <v>-49050046.060000002</v>
      </c>
      <c r="R24" s="16">
        <f t="shared" si="1"/>
        <v>96340653.939999998</v>
      </c>
      <c r="S24" s="27">
        <f>62505415.39-S25</f>
        <v>55047498.350000001</v>
      </c>
      <c r="T24" s="18">
        <f t="shared" si="2"/>
        <v>0.57138389764598274</v>
      </c>
      <c r="U24" s="28">
        <f>40452246.26-U25</f>
        <v>35157067.669999994</v>
      </c>
      <c r="V24" s="18">
        <f t="shared" si="3"/>
        <v>0.36492452803875991</v>
      </c>
      <c r="W24" s="27">
        <f>39019962.15-W25</f>
        <v>33724783.559999995</v>
      </c>
      <c r="X24" s="18">
        <f t="shared" si="4"/>
        <v>0.35005765666697108</v>
      </c>
      <c r="Y24" s="1"/>
      <c r="Z24" s="1"/>
      <c r="AA24" s="1"/>
    </row>
    <row r="25" spans="1:27" ht="36">
      <c r="A25" s="11" t="s">
        <v>45</v>
      </c>
      <c r="B25" s="12" t="s">
        <v>46</v>
      </c>
      <c r="C25" s="12" t="s">
        <v>74</v>
      </c>
      <c r="D25" s="12" t="s">
        <v>75</v>
      </c>
      <c r="E25" s="12" t="s">
        <v>76</v>
      </c>
      <c r="F25" s="12" t="s">
        <v>77</v>
      </c>
      <c r="G25" s="12" t="s">
        <v>78</v>
      </c>
      <c r="H25" s="12" t="s">
        <v>52</v>
      </c>
      <c r="I25" s="12" t="s">
        <v>53</v>
      </c>
      <c r="J25" s="13">
        <v>3</v>
      </c>
      <c r="K25" s="14">
        <f>6237900</f>
        <v>6237900</v>
      </c>
      <c r="L25" s="15">
        <v>2105000</v>
      </c>
      <c r="M25" s="15">
        <v>0</v>
      </c>
      <c r="N25" s="16">
        <f t="shared" si="0"/>
        <v>8342900</v>
      </c>
      <c r="O25" s="17"/>
      <c r="P25" s="17"/>
      <c r="Q25" s="17"/>
      <c r="R25" s="16">
        <f t="shared" si="1"/>
        <v>8342900</v>
      </c>
      <c r="S25" s="27">
        <f>18955.04+167661.44+7271300.56</f>
        <v>7457917.04</v>
      </c>
      <c r="T25" s="18">
        <f t="shared" si="2"/>
        <v>0.89392382025434802</v>
      </c>
      <c r="U25" s="29">
        <f>18955.04+167661.44+5108562.11</f>
        <v>5295178.5900000008</v>
      </c>
      <c r="V25" s="18">
        <f t="shared" si="3"/>
        <v>0.63469280346162615</v>
      </c>
      <c r="W25" s="25">
        <f>18955.04+167661.44+5108562.11</f>
        <v>5295178.5900000008</v>
      </c>
      <c r="X25" s="18">
        <f t="shared" si="4"/>
        <v>0.63469280346162615</v>
      </c>
      <c r="Y25" s="1"/>
      <c r="Z25" s="1"/>
      <c r="AA25" s="1"/>
    </row>
    <row r="26" spans="1:27" ht="45">
      <c r="A26" s="11" t="s">
        <v>45</v>
      </c>
      <c r="B26" s="30" t="s">
        <v>46</v>
      </c>
      <c r="C26" s="30" t="s">
        <v>79</v>
      </c>
      <c r="D26" s="30" t="s">
        <v>80</v>
      </c>
      <c r="E26" s="30" t="s">
        <v>81</v>
      </c>
      <c r="F26" s="30" t="s">
        <v>82</v>
      </c>
      <c r="G26" s="30" t="s">
        <v>51</v>
      </c>
      <c r="H26" s="30" t="s">
        <v>52</v>
      </c>
      <c r="I26" s="12" t="s">
        <v>53</v>
      </c>
      <c r="J26" s="22">
        <v>1</v>
      </c>
      <c r="K26" s="15">
        <v>843000</v>
      </c>
      <c r="L26" s="15">
        <v>122924.43</v>
      </c>
      <c r="M26" s="15"/>
      <c r="N26" s="16">
        <f t="shared" si="0"/>
        <v>965924.42999999993</v>
      </c>
      <c r="O26" s="17"/>
      <c r="P26" s="17"/>
      <c r="Q26" s="17"/>
      <c r="R26" s="16">
        <f t="shared" si="1"/>
        <v>965924.42999999993</v>
      </c>
      <c r="S26" s="15">
        <v>965924.43</v>
      </c>
      <c r="T26" s="18">
        <f t="shared" si="2"/>
        <v>1.0000000000000002</v>
      </c>
      <c r="U26" s="23">
        <v>965924.43</v>
      </c>
      <c r="V26" s="18">
        <f t="shared" si="3"/>
        <v>1.0000000000000002</v>
      </c>
      <c r="W26" s="15">
        <v>965924.43</v>
      </c>
      <c r="X26" s="18">
        <f t="shared" si="4"/>
        <v>1.0000000000000002</v>
      </c>
      <c r="Y26" s="1"/>
      <c r="Z26" s="1"/>
      <c r="AA26" s="1"/>
    </row>
    <row r="27" spans="1:27" ht="23.25" customHeight="1">
      <c r="A27" s="77" t="s">
        <v>83</v>
      </c>
      <c r="B27" s="62"/>
      <c r="C27" s="62"/>
      <c r="D27" s="62"/>
      <c r="E27" s="62"/>
      <c r="F27" s="62"/>
      <c r="G27" s="62"/>
      <c r="H27" s="62"/>
      <c r="I27" s="62"/>
      <c r="J27" s="63"/>
      <c r="K27" s="31">
        <f t="shared" ref="K27:S27" si="5">SUM(K14:K26)</f>
        <v>1099633000</v>
      </c>
      <c r="L27" s="31">
        <f t="shared" si="5"/>
        <v>47456503.960000001</v>
      </c>
      <c r="M27" s="31">
        <f t="shared" si="5"/>
        <v>47456503.959999993</v>
      </c>
      <c r="N27" s="31">
        <f t="shared" si="5"/>
        <v>1099633000.0000002</v>
      </c>
      <c r="O27" s="31">
        <f t="shared" si="5"/>
        <v>0</v>
      </c>
      <c r="P27" s="31">
        <f t="shared" si="5"/>
        <v>0</v>
      </c>
      <c r="Q27" s="31">
        <f t="shared" si="5"/>
        <v>-49050046.060000002</v>
      </c>
      <c r="R27" s="31">
        <f t="shared" si="5"/>
        <v>1050582953.9399999</v>
      </c>
      <c r="S27" s="31">
        <f t="shared" si="5"/>
        <v>639186646.76999998</v>
      </c>
      <c r="T27" s="32">
        <f t="shared" si="2"/>
        <v>0.60841140090162238</v>
      </c>
      <c r="U27" s="31">
        <f>SUM(U14:U26)</f>
        <v>607825067.7099998</v>
      </c>
      <c r="V27" s="32">
        <f t="shared" si="3"/>
        <v>0.57855980380271188</v>
      </c>
      <c r="W27" s="31">
        <f>SUM(W14:W26)</f>
        <v>582965644.0999999</v>
      </c>
      <c r="X27" s="32">
        <f t="shared" si="4"/>
        <v>0.55489729955517042</v>
      </c>
      <c r="Y27" s="1"/>
      <c r="Z27" s="1"/>
      <c r="AA27" s="1"/>
    </row>
    <row r="28" spans="1:2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 ht="54">
      <c r="A30" s="11" t="s">
        <v>84</v>
      </c>
      <c r="B30" s="12" t="s">
        <v>85</v>
      </c>
      <c r="C30" s="12" t="s">
        <v>47</v>
      </c>
      <c r="D30" s="12" t="s">
        <v>86</v>
      </c>
      <c r="E30" s="12" t="s">
        <v>49</v>
      </c>
      <c r="F30" s="12" t="s">
        <v>87</v>
      </c>
      <c r="G30" s="12" t="s">
        <v>51</v>
      </c>
      <c r="H30" s="12" t="s">
        <v>88</v>
      </c>
      <c r="I30" s="12" t="s">
        <v>89</v>
      </c>
      <c r="J30" s="39">
        <v>4</v>
      </c>
      <c r="K30" s="24">
        <v>5240500</v>
      </c>
      <c r="L30" s="15">
        <v>0</v>
      </c>
      <c r="M30" s="15">
        <v>4599801.4000000004</v>
      </c>
      <c r="N30" s="16">
        <f t="shared" ref="N30:N57" si="6">K30+L30-M30</f>
        <v>640698.59999999963</v>
      </c>
      <c r="O30" s="17"/>
      <c r="P30" s="17"/>
      <c r="Q30" s="17"/>
      <c r="R30" s="16">
        <f t="shared" ref="R30:R57" si="7">N30-O30+P30+Q30</f>
        <v>640698.59999999963</v>
      </c>
      <c r="S30" s="40">
        <v>0</v>
      </c>
      <c r="T30" s="18">
        <f t="shared" ref="T30:T59" si="8">IF(R30&gt;0,S30/R30,0)</f>
        <v>0</v>
      </c>
      <c r="U30" s="41">
        <v>0</v>
      </c>
      <c r="V30" s="18">
        <f t="shared" ref="V30:V59" si="9">IF(R30&gt;0,U30/R30,0)</f>
        <v>0</v>
      </c>
      <c r="W30" s="15">
        <v>0</v>
      </c>
      <c r="X30" s="18">
        <f t="shared" ref="X30:X59" si="10">IF(R30&gt;0,W30/R30,0)</f>
        <v>0</v>
      </c>
      <c r="Y30" s="1"/>
      <c r="Z30" s="1"/>
      <c r="AA30" s="1"/>
    </row>
    <row r="31" spans="1:27" ht="54">
      <c r="A31" s="11" t="s">
        <v>84</v>
      </c>
      <c r="B31" s="12" t="s">
        <v>85</v>
      </c>
      <c r="C31" s="12" t="s">
        <v>47</v>
      </c>
      <c r="D31" s="12" t="s">
        <v>90</v>
      </c>
      <c r="E31" s="12" t="s">
        <v>49</v>
      </c>
      <c r="F31" s="12" t="s">
        <v>87</v>
      </c>
      <c r="G31" s="12" t="s">
        <v>51</v>
      </c>
      <c r="H31" s="12" t="s">
        <v>88</v>
      </c>
      <c r="I31" s="12" t="s">
        <v>89</v>
      </c>
      <c r="J31" s="39">
        <v>4</v>
      </c>
      <c r="K31" s="24">
        <v>0</v>
      </c>
      <c r="L31" s="15">
        <v>1213295.44</v>
      </c>
      <c r="M31" s="15">
        <v>0</v>
      </c>
      <c r="N31" s="16">
        <f t="shared" si="6"/>
        <v>1213295.44</v>
      </c>
      <c r="O31" s="17"/>
      <c r="P31" s="17"/>
      <c r="Q31" s="17"/>
      <c r="R31" s="16">
        <f t="shared" si="7"/>
        <v>1213295.44</v>
      </c>
      <c r="S31" s="40">
        <v>1213295.44</v>
      </c>
      <c r="T31" s="18">
        <f t="shared" si="8"/>
        <v>1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 ht="54">
      <c r="A32" s="11" t="s">
        <v>84</v>
      </c>
      <c r="B32" s="12" t="s">
        <v>85</v>
      </c>
      <c r="C32" s="12" t="s">
        <v>47</v>
      </c>
      <c r="D32" s="12" t="s">
        <v>91</v>
      </c>
      <c r="E32" s="12" t="s">
        <v>49</v>
      </c>
      <c r="F32" s="12" t="s">
        <v>87</v>
      </c>
      <c r="G32" s="12" t="s">
        <v>51</v>
      </c>
      <c r="H32" s="12" t="s">
        <v>88</v>
      </c>
      <c r="I32" s="12" t="s">
        <v>89</v>
      </c>
      <c r="J32" s="39">
        <v>4</v>
      </c>
      <c r="K32" s="24">
        <v>0</v>
      </c>
      <c r="L32" s="15">
        <v>449787.42</v>
      </c>
      <c r="M32" s="15">
        <v>0</v>
      </c>
      <c r="N32" s="16">
        <f t="shared" si="6"/>
        <v>449787.42</v>
      </c>
      <c r="O32" s="17"/>
      <c r="P32" s="17"/>
      <c r="Q32" s="17"/>
      <c r="R32" s="16">
        <f t="shared" si="7"/>
        <v>449787.42</v>
      </c>
      <c r="S32" s="40">
        <v>449787.42</v>
      </c>
      <c r="T32" s="18">
        <f t="shared" si="8"/>
        <v>1</v>
      </c>
      <c r="U32" s="41">
        <v>325526.96000000002</v>
      </c>
      <c r="V32" s="18">
        <f t="shared" si="9"/>
        <v>0.72373513692312696</v>
      </c>
      <c r="W32" s="15">
        <v>325526.96000000002</v>
      </c>
      <c r="X32" s="18">
        <f t="shared" si="10"/>
        <v>0.72373513692312696</v>
      </c>
      <c r="Y32" s="1"/>
      <c r="Z32" s="1"/>
      <c r="AA32" s="1"/>
    </row>
    <row r="33" spans="1:27" ht="54">
      <c r="A33" s="11" t="s">
        <v>84</v>
      </c>
      <c r="B33" s="12" t="s">
        <v>85</v>
      </c>
      <c r="C33" s="12" t="s">
        <v>47</v>
      </c>
      <c r="D33" s="12" t="s">
        <v>92</v>
      </c>
      <c r="E33" s="12" t="s">
        <v>49</v>
      </c>
      <c r="F33" s="12" t="s">
        <v>87</v>
      </c>
      <c r="G33" s="12" t="s">
        <v>51</v>
      </c>
      <c r="H33" s="12" t="s">
        <v>88</v>
      </c>
      <c r="I33" s="12" t="s">
        <v>89</v>
      </c>
      <c r="J33" s="39">
        <v>4</v>
      </c>
      <c r="K33" s="24">
        <v>0</v>
      </c>
      <c r="L33" s="15">
        <v>14540715.74</v>
      </c>
      <c r="M33" s="15">
        <v>0</v>
      </c>
      <c r="N33" s="16">
        <f t="shared" si="6"/>
        <v>14540715.74</v>
      </c>
      <c r="O33" s="17"/>
      <c r="P33" s="17"/>
      <c r="Q33" s="17"/>
      <c r="R33" s="16">
        <f t="shared" si="7"/>
        <v>14540715.74</v>
      </c>
      <c r="S33" s="40">
        <v>14540715.74</v>
      </c>
      <c r="T33" s="18">
        <f t="shared" si="8"/>
        <v>1</v>
      </c>
      <c r="U33" s="41">
        <v>4149950.54</v>
      </c>
      <c r="V33" s="18">
        <f t="shared" si="9"/>
        <v>0.2854020815896921</v>
      </c>
      <c r="W33" s="15">
        <v>4149950.54</v>
      </c>
      <c r="X33" s="18">
        <f t="shared" si="10"/>
        <v>0.2854020815896921</v>
      </c>
      <c r="Y33" s="1"/>
      <c r="Z33" s="1"/>
      <c r="AA33" s="1"/>
    </row>
    <row r="34" spans="1:27" ht="45">
      <c r="A34" s="11" t="s">
        <v>84</v>
      </c>
      <c r="B34" s="12" t="s">
        <v>85</v>
      </c>
      <c r="C34" s="12" t="s">
        <v>47</v>
      </c>
      <c r="D34" s="12" t="s">
        <v>93</v>
      </c>
      <c r="E34" s="12" t="s">
        <v>49</v>
      </c>
      <c r="F34" s="12" t="s">
        <v>94</v>
      </c>
      <c r="G34" s="12" t="s">
        <v>51</v>
      </c>
      <c r="H34" s="12" t="s">
        <v>88</v>
      </c>
      <c r="I34" s="12" t="s">
        <v>89</v>
      </c>
      <c r="J34" s="39">
        <v>4</v>
      </c>
      <c r="K34" s="24">
        <v>1379400</v>
      </c>
      <c r="L34" s="15">
        <v>0</v>
      </c>
      <c r="M34" s="15">
        <v>0</v>
      </c>
      <c r="N34" s="16">
        <f t="shared" si="6"/>
        <v>1379400</v>
      </c>
      <c r="O34" s="17"/>
      <c r="P34" s="17"/>
      <c r="Q34" s="17"/>
      <c r="R34" s="16">
        <f t="shared" si="7"/>
        <v>1379400</v>
      </c>
      <c r="S34" s="40">
        <v>0</v>
      </c>
      <c r="T34" s="18">
        <f t="shared" si="8"/>
        <v>0</v>
      </c>
      <c r="U34" s="41">
        <v>0</v>
      </c>
      <c r="V34" s="18">
        <f t="shared" si="9"/>
        <v>0</v>
      </c>
      <c r="W34" s="15">
        <v>0</v>
      </c>
      <c r="X34" s="18">
        <f t="shared" si="10"/>
        <v>0</v>
      </c>
      <c r="Y34" s="1"/>
      <c r="Z34" s="1"/>
      <c r="AA34" s="1"/>
    </row>
    <row r="35" spans="1:27" ht="45">
      <c r="A35" s="11" t="s">
        <v>84</v>
      </c>
      <c r="B35" s="12" t="s">
        <v>85</v>
      </c>
      <c r="C35" s="12" t="s">
        <v>47</v>
      </c>
      <c r="D35" s="12" t="s">
        <v>48</v>
      </c>
      <c r="E35" s="12" t="s">
        <v>49</v>
      </c>
      <c r="F35" s="12" t="s">
        <v>95</v>
      </c>
      <c r="G35" s="12" t="s">
        <v>51</v>
      </c>
      <c r="H35" s="12" t="s">
        <v>88</v>
      </c>
      <c r="I35" s="12" t="s">
        <v>89</v>
      </c>
      <c r="J35" s="13">
        <v>3</v>
      </c>
      <c r="K35" s="42">
        <f>162737000-K36</f>
        <v>160337000</v>
      </c>
      <c r="L35" s="15">
        <f>9853709.81-L36</f>
        <v>9633269.8100000005</v>
      </c>
      <c r="M35" s="15">
        <f>36464509.36-M36</f>
        <v>36412530.159999996</v>
      </c>
      <c r="N35" s="16">
        <f t="shared" si="6"/>
        <v>133557739.65000001</v>
      </c>
      <c r="O35" s="17"/>
      <c r="P35" s="17"/>
      <c r="Q35" s="17"/>
      <c r="R35" s="16">
        <f t="shared" si="7"/>
        <v>133557739.65000001</v>
      </c>
      <c r="S35" s="42">
        <f>89681254.32-S36</f>
        <v>87194647.029999986</v>
      </c>
      <c r="T35" s="18">
        <f t="shared" si="8"/>
        <v>0.65286105663738658</v>
      </c>
      <c r="U35" s="19">
        <f>44676562.09-U36</f>
        <v>43839408.890000001</v>
      </c>
      <c r="V35" s="18">
        <f t="shared" si="9"/>
        <v>0.32824311795696071</v>
      </c>
      <c r="W35" s="15">
        <f>44133031.29-W36</f>
        <v>43295878.089999996</v>
      </c>
      <c r="X35" s="18">
        <f t="shared" si="10"/>
        <v>0.32417348633977122</v>
      </c>
      <c r="Y35" s="1"/>
      <c r="Z35" s="1"/>
      <c r="AA35" s="1"/>
    </row>
    <row r="36" spans="1:27" ht="45">
      <c r="A36" s="11" t="s">
        <v>84</v>
      </c>
      <c r="B36" s="12" t="s">
        <v>85</v>
      </c>
      <c r="C36" s="12" t="s">
        <v>47</v>
      </c>
      <c r="D36" s="12" t="s">
        <v>48</v>
      </c>
      <c r="E36" s="12" t="s">
        <v>49</v>
      </c>
      <c r="F36" s="12" t="s">
        <v>95</v>
      </c>
      <c r="G36" s="12" t="s">
        <v>51</v>
      </c>
      <c r="H36" s="12" t="s">
        <v>88</v>
      </c>
      <c r="I36" s="12" t="s">
        <v>89</v>
      </c>
      <c r="J36" s="39">
        <v>4</v>
      </c>
      <c r="K36" s="24">
        <f>2400000</f>
        <v>2400000</v>
      </c>
      <c r="L36" s="15">
        <f>220440</f>
        <v>220440</v>
      </c>
      <c r="M36" s="15">
        <f>51979.2</f>
        <v>51979.199999999997</v>
      </c>
      <c r="N36" s="16">
        <f t="shared" si="6"/>
        <v>2568460.7999999998</v>
      </c>
      <c r="O36" s="17"/>
      <c r="P36" s="17"/>
      <c r="Q36" s="17"/>
      <c r="R36" s="16">
        <f t="shared" si="7"/>
        <v>2568460.7999999998</v>
      </c>
      <c r="S36" s="27">
        <f>176670+1518800.86+604634+134523.23+51979.2</f>
        <v>2486607.2900000005</v>
      </c>
      <c r="T36" s="18">
        <f t="shared" si="8"/>
        <v>0.9681312987140005</v>
      </c>
      <c r="U36" s="41">
        <f>176670+309000+295004+4500+51979.2</f>
        <v>837153.2</v>
      </c>
      <c r="V36" s="18">
        <f t="shared" si="9"/>
        <v>0.32593575109263884</v>
      </c>
      <c r="W36" s="15">
        <f>176670+309000+295004+4500+51979.2</f>
        <v>837153.2</v>
      </c>
      <c r="X36" s="18">
        <f t="shared" si="10"/>
        <v>0.32593575109263884</v>
      </c>
      <c r="Y36" s="1"/>
      <c r="Z36" s="1"/>
      <c r="AA36" s="1"/>
    </row>
    <row r="37" spans="1:27" ht="45">
      <c r="A37" s="11" t="s">
        <v>84</v>
      </c>
      <c r="B37" s="12" t="s">
        <v>85</v>
      </c>
      <c r="C37" s="12" t="s">
        <v>47</v>
      </c>
      <c r="D37" s="12" t="s">
        <v>54</v>
      </c>
      <c r="E37" s="12" t="s">
        <v>49</v>
      </c>
      <c r="F37" s="12" t="s">
        <v>96</v>
      </c>
      <c r="G37" s="12" t="s">
        <v>51</v>
      </c>
      <c r="H37" s="12" t="s">
        <v>88</v>
      </c>
      <c r="I37" s="12" t="s">
        <v>89</v>
      </c>
      <c r="J37" s="13">
        <v>3</v>
      </c>
      <c r="K37" s="24">
        <v>100000</v>
      </c>
      <c r="L37" s="14">
        <v>0</v>
      </c>
      <c r="M37" s="14">
        <v>100000</v>
      </c>
      <c r="N37" s="43">
        <f t="shared" si="6"/>
        <v>0</v>
      </c>
      <c r="O37" s="44"/>
      <c r="P37" s="44"/>
      <c r="Q37" s="44"/>
      <c r="R37" s="43">
        <f t="shared" si="7"/>
        <v>0</v>
      </c>
      <c r="S37" s="14">
        <v>0</v>
      </c>
      <c r="T37" s="45">
        <f t="shared" si="8"/>
        <v>0</v>
      </c>
      <c r="U37" s="19">
        <v>0</v>
      </c>
      <c r="V37" s="45">
        <f t="shared" si="9"/>
        <v>0</v>
      </c>
      <c r="W37" s="14">
        <v>0</v>
      </c>
      <c r="X37" s="45">
        <f t="shared" si="10"/>
        <v>0</v>
      </c>
      <c r="Y37" s="1"/>
      <c r="Z37" s="1"/>
      <c r="AA37" s="1"/>
    </row>
    <row r="38" spans="1:27" ht="45">
      <c r="A38" s="11" t="s">
        <v>84</v>
      </c>
      <c r="B38" s="12" t="s">
        <v>85</v>
      </c>
      <c r="C38" s="12" t="s">
        <v>47</v>
      </c>
      <c r="D38" s="12" t="s">
        <v>54</v>
      </c>
      <c r="E38" s="12" t="s">
        <v>49</v>
      </c>
      <c r="F38" s="12" t="s">
        <v>96</v>
      </c>
      <c r="G38" s="12" t="s">
        <v>51</v>
      </c>
      <c r="H38" s="57" t="s">
        <v>121</v>
      </c>
      <c r="I38" s="12" t="s">
        <v>89</v>
      </c>
      <c r="J38" s="13">
        <v>3</v>
      </c>
      <c r="K38" s="24">
        <v>0</v>
      </c>
      <c r="L38" s="14">
        <v>18163875.030000001</v>
      </c>
      <c r="M38" s="14">
        <v>0</v>
      </c>
      <c r="N38" s="43">
        <f t="shared" si="6"/>
        <v>18163875.030000001</v>
      </c>
      <c r="O38" s="44"/>
      <c r="P38" s="44"/>
      <c r="Q38" s="44"/>
      <c r="R38" s="43">
        <f t="shared" si="7"/>
        <v>18163875.030000001</v>
      </c>
      <c r="S38" s="14">
        <v>14610332.720000001</v>
      </c>
      <c r="T38" s="45">
        <f t="shared" si="8"/>
        <v>0.80436210312332235</v>
      </c>
      <c r="U38" s="19">
        <v>7950477.1600000001</v>
      </c>
      <c r="V38" s="45">
        <f t="shared" si="9"/>
        <v>0.43770820636393687</v>
      </c>
      <c r="W38" s="14">
        <v>7950477.1600000001</v>
      </c>
      <c r="X38" s="45">
        <f t="shared" si="10"/>
        <v>0.43770820636393687</v>
      </c>
      <c r="Y38" s="1"/>
      <c r="Z38" s="1"/>
      <c r="AA38" s="1"/>
    </row>
    <row r="39" spans="1:27" ht="54">
      <c r="A39" s="11" t="s">
        <v>84</v>
      </c>
      <c r="B39" s="12" t="s">
        <v>85</v>
      </c>
      <c r="C39" s="12" t="s">
        <v>47</v>
      </c>
      <c r="D39" s="12" t="s">
        <v>97</v>
      </c>
      <c r="E39" s="12" t="s">
        <v>59</v>
      </c>
      <c r="F39" s="12" t="s">
        <v>98</v>
      </c>
      <c r="G39" s="12" t="s">
        <v>51</v>
      </c>
      <c r="H39" s="12" t="s">
        <v>88</v>
      </c>
      <c r="I39" s="12" t="s">
        <v>89</v>
      </c>
      <c r="J39" s="39">
        <v>4</v>
      </c>
      <c r="K39" s="24">
        <v>1000000</v>
      </c>
      <c r="L39" s="14">
        <v>0</v>
      </c>
      <c r="M39" s="14">
        <v>1000000</v>
      </c>
      <c r="N39" s="43">
        <f t="shared" si="6"/>
        <v>0</v>
      </c>
      <c r="O39" s="44"/>
      <c r="P39" s="44"/>
      <c r="Q39" s="44"/>
      <c r="R39" s="43">
        <f t="shared" si="7"/>
        <v>0</v>
      </c>
      <c r="S39" s="40">
        <v>0</v>
      </c>
      <c r="T39" s="45">
        <f t="shared" si="8"/>
        <v>0</v>
      </c>
      <c r="U39" s="41">
        <v>0</v>
      </c>
      <c r="V39" s="45">
        <f t="shared" si="9"/>
        <v>0</v>
      </c>
      <c r="W39" s="14">
        <v>0</v>
      </c>
      <c r="X39" s="45">
        <f t="shared" si="10"/>
        <v>0</v>
      </c>
      <c r="Y39" s="1"/>
      <c r="Z39" s="1"/>
      <c r="AA39" s="1"/>
    </row>
    <row r="40" spans="1:27" ht="54">
      <c r="A40" s="11" t="s">
        <v>84</v>
      </c>
      <c r="B40" s="12" t="s">
        <v>85</v>
      </c>
      <c r="C40" s="12" t="s">
        <v>47</v>
      </c>
      <c r="D40" s="12" t="s">
        <v>99</v>
      </c>
      <c r="E40" s="12" t="s">
        <v>59</v>
      </c>
      <c r="F40" s="12" t="s">
        <v>98</v>
      </c>
      <c r="G40" s="12" t="s">
        <v>51</v>
      </c>
      <c r="H40" s="12" t="s">
        <v>88</v>
      </c>
      <c r="I40" s="12" t="s">
        <v>89</v>
      </c>
      <c r="J40" s="39">
        <v>4</v>
      </c>
      <c r="K40" s="24">
        <v>0</v>
      </c>
      <c r="L40" s="14">
        <v>11657917.65</v>
      </c>
      <c r="M40" s="14">
        <v>0</v>
      </c>
      <c r="N40" s="43">
        <f t="shared" si="6"/>
        <v>11657917.65</v>
      </c>
      <c r="O40" s="44"/>
      <c r="P40" s="44"/>
      <c r="Q40" s="44"/>
      <c r="R40" s="43">
        <f t="shared" si="7"/>
        <v>11657917.65</v>
      </c>
      <c r="S40" s="40">
        <v>7865594.5</v>
      </c>
      <c r="T40" s="45">
        <f t="shared" si="8"/>
        <v>0.67469978225485228</v>
      </c>
      <c r="U40" s="41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 ht="45">
      <c r="A41" s="11" t="s">
        <v>84</v>
      </c>
      <c r="B41" s="12" t="s">
        <v>85</v>
      </c>
      <c r="C41" s="12" t="s">
        <v>47</v>
      </c>
      <c r="D41" s="12" t="s">
        <v>100</v>
      </c>
      <c r="E41" s="12" t="s">
        <v>59</v>
      </c>
      <c r="F41" s="12" t="s">
        <v>101</v>
      </c>
      <c r="G41" s="12" t="s">
        <v>51</v>
      </c>
      <c r="H41" s="12" t="s">
        <v>88</v>
      </c>
      <c r="I41" s="12" t="s">
        <v>89</v>
      </c>
      <c r="J41" s="39">
        <v>4</v>
      </c>
      <c r="K41" s="24">
        <f>120600</f>
        <v>120600</v>
      </c>
      <c r="L41" s="14">
        <v>0</v>
      </c>
      <c r="M41" s="14">
        <v>0</v>
      </c>
      <c r="N41" s="43">
        <f t="shared" si="6"/>
        <v>120600</v>
      </c>
      <c r="O41" s="44"/>
      <c r="P41" s="44"/>
      <c r="Q41" s="44"/>
      <c r="R41" s="43">
        <f t="shared" si="7"/>
        <v>120600</v>
      </c>
      <c r="S41" s="40">
        <v>0</v>
      </c>
      <c r="T41" s="45">
        <f t="shared" si="8"/>
        <v>0</v>
      </c>
      <c r="U41" s="41">
        <v>0</v>
      </c>
      <c r="V41" s="45">
        <f t="shared" si="9"/>
        <v>0</v>
      </c>
      <c r="W41" s="14">
        <v>0</v>
      </c>
      <c r="X41" s="45">
        <f t="shared" si="10"/>
        <v>0</v>
      </c>
      <c r="Y41" s="1"/>
      <c r="Z41" s="1"/>
      <c r="AA41" s="1"/>
    </row>
    <row r="42" spans="1:27" ht="45">
      <c r="A42" s="11" t="s">
        <v>84</v>
      </c>
      <c r="B42" s="12" t="s">
        <v>85</v>
      </c>
      <c r="C42" s="12" t="s">
        <v>47</v>
      </c>
      <c r="D42" s="12" t="s">
        <v>102</v>
      </c>
      <c r="E42" s="12" t="s">
        <v>59</v>
      </c>
      <c r="F42" s="12" t="s">
        <v>103</v>
      </c>
      <c r="G42" s="12" t="s">
        <v>51</v>
      </c>
      <c r="H42" s="12" t="s">
        <v>88</v>
      </c>
      <c r="I42" s="12" t="s">
        <v>89</v>
      </c>
      <c r="J42" s="13">
        <v>3</v>
      </c>
      <c r="K42" s="24">
        <v>500000</v>
      </c>
      <c r="L42" s="14">
        <v>600000</v>
      </c>
      <c r="M42" s="14">
        <v>0</v>
      </c>
      <c r="N42" s="43">
        <f t="shared" si="6"/>
        <v>1100000</v>
      </c>
      <c r="O42" s="44"/>
      <c r="P42" s="44"/>
      <c r="Q42" s="44"/>
      <c r="R42" s="43">
        <f t="shared" si="7"/>
        <v>1100000</v>
      </c>
      <c r="S42" s="40">
        <v>1100000</v>
      </c>
      <c r="T42" s="45">
        <f t="shared" si="8"/>
        <v>1</v>
      </c>
      <c r="U42" s="46">
        <v>615000</v>
      </c>
      <c r="V42" s="45">
        <f t="shared" si="9"/>
        <v>0.55909090909090908</v>
      </c>
      <c r="W42" s="14">
        <v>615000</v>
      </c>
      <c r="X42" s="45">
        <f t="shared" si="10"/>
        <v>0.55909090909090908</v>
      </c>
      <c r="Y42" s="1"/>
      <c r="Z42" s="1"/>
      <c r="AA42" s="1"/>
    </row>
    <row r="43" spans="1:27" ht="45">
      <c r="A43" s="11" t="s">
        <v>84</v>
      </c>
      <c r="B43" s="12" t="s">
        <v>85</v>
      </c>
      <c r="C43" s="12" t="s">
        <v>47</v>
      </c>
      <c r="D43" s="12" t="s">
        <v>58</v>
      </c>
      <c r="E43" s="12" t="s">
        <v>59</v>
      </c>
      <c r="F43" s="12" t="s">
        <v>60</v>
      </c>
      <c r="G43" s="12" t="s">
        <v>51</v>
      </c>
      <c r="H43" s="12" t="s">
        <v>88</v>
      </c>
      <c r="I43" s="12" t="s">
        <v>89</v>
      </c>
      <c r="J43" s="13">
        <v>3</v>
      </c>
      <c r="K43" s="24">
        <v>50000</v>
      </c>
      <c r="L43" s="15">
        <v>0</v>
      </c>
      <c r="M43" s="15">
        <v>0</v>
      </c>
      <c r="N43" s="16">
        <f t="shared" si="6"/>
        <v>50000</v>
      </c>
      <c r="O43" s="17"/>
      <c r="P43" s="17"/>
      <c r="Q43" s="17"/>
      <c r="R43" s="16">
        <f t="shared" si="7"/>
        <v>50000</v>
      </c>
      <c r="S43" s="40">
        <v>0</v>
      </c>
      <c r="T43" s="18">
        <f t="shared" si="8"/>
        <v>0</v>
      </c>
      <c r="U43" s="19">
        <v>0</v>
      </c>
      <c r="V43" s="18">
        <f t="shared" si="9"/>
        <v>0</v>
      </c>
      <c r="W43" s="15">
        <v>0</v>
      </c>
      <c r="X43" s="18">
        <f t="shared" si="10"/>
        <v>0</v>
      </c>
      <c r="Y43" s="1"/>
      <c r="Z43" s="1"/>
      <c r="AA43" s="1"/>
    </row>
    <row r="44" spans="1:27" ht="45">
      <c r="A44" s="11" t="s">
        <v>84</v>
      </c>
      <c r="B44" s="12" t="s">
        <v>85</v>
      </c>
      <c r="C44" s="12" t="s">
        <v>47</v>
      </c>
      <c r="D44" s="12" t="s">
        <v>58</v>
      </c>
      <c r="E44" s="12" t="s">
        <v>59</v>
      </c>
      <c r="F44" s="12" t="s">
        <v>60</v>
      </c>
      <c r="G44" s="12" t="s">
        <v>51</v>
      </c>
      <c r="H44" s="57" t="s">
        <v>121</v>
      </c>
      <c r="I44" s="12" t="s">
        <v>89</v>
      </c>
      <c r="J44" s="13">
        <v>3</v>
      </c>
      <c r="K44" s="24">
        <v>0</v>
      </c>
      <c r="L44" s="15">
        <v>505750</v>
      </c>
      <c r="M44" s="15">
        <v>0</v>
      </c>
      <c r="N44" s="16">
        <f t="shared" si="6"/>
        <v>505750</v>
      </c>
      <c r="O44" s="17"/>
      <c r="P44" s="17"/>
      <c r="Q44" s="17"/>
      <c r="R44" s="16">
        <f t="shared" si="7"/>
        <v>505750</v>
      </c>
      <c r="S44" s="40">
        <v>264044.82</v>
      </c>
      <c r="T44" s="18">
        <f t="shared" si="8"/>
        <v>0.52208565496786952</v>
      </c>
      <c r="U44" s="19">
        <v>121599.5</v>
      </c>
      <c r="V44" s="18">
        <f t="shared" si="9"/>
        <v>0.24043400889767672</v>
      </c>
      <c r="W44" s="15">
        <v>121599.5</v>
      </c>
      <c r="X44" s="18">
        <f t="shared" si="10"/>
        <v>0.24043400889767672</v>
      </c>
      <c r="Y44" s="1"/>
      <c r="Z44" s="1"/>
      <c r="AA44" s="1"/>
    </row>
    <row r="45" spans="1:27" ht="45">
      <c r="A45" s="11" t="s">
        <v>84</v>
      </c>
      <c r="B45" s="12" t="s">
        <v>85</v>
      </c>
      <c r="C45" s="12" t="s">
        <v>47</v>
      </c>
      <c r="D45" s="12" t="s">
        <v>61</v>
      </c>
      <c r="E45" s="12" t="s">
        <v>59</v>
      </c>
      <c r="F45" s="12" t="s">
        <v>62</v>
      </c>
      <c r="G45" s="12" t="s">
        <v>51</v>
      </c>
      <c r="H45" s="12" t="s">
        <v>88</v>
      </c>
      <c r="I45" s="12" t="s">
        <v>89</v>
      </c>
      <c r="J45" s="13">
        <v>3</v>
      </c>
      <c r="K45" s="42">
        <f>54121000-K46</f>
        <v>53911000</v>
      </c>
      <c r="L45" s="15">
        <v>883264.36</v>
      </c>
      <c r="M45" s="15">
        <v>883264.36</v>
      </c>
      <c r="N45" s="16">
        <f t="shared" si="6"/>
        <v>53911000</v>
      </c>
      <c r="O45" s="17"/>
      <c r="P45" s="17"/>
      <c r="Q45" s="17"/>
      <c r="R45" s="16">
        <f t="shared" si="7"/>
        <v>53911000</v>
      </c>
      <c r="S45" s="15">
        <f>35925043.16-S46</f>
        <v>35876855.659999996</v>
      </c>
      <c r="T45" s="18">
        <f t="shared" si="8"/>
        <v>0.66548303055035141</v>
      </c>
      <c r="U45" s="19">
        <f>23790879.62-U46</f>
        <v>23742692.120000001</v>
      </c>
      <c r="V45" s="18">
        <f t="shared" si="9"/>
        <v>0.4404053369442229</v>
      </c>
      <c r="W45" s="15">
        <f>23673238.75-W46</f>
        <v>23625051.25</v>
      </c>
      <c r="X45" s="18">
        <f t="shared" si="10"/>
        <v>0.43822320583925356</v>
      </c>
      <c r="Y45" s="1"/>
      <c r="Z45" s="1"/>
      <c r="AA45" s="1"/>
    </row>
    <row r="46" spans="1:27" ht="45">
      <c r="A46" s="11" t="s">
        <v>84</v>
      </c>
      <c r="B46" s="12" t="s">
        <v>85</v>
      </c>
      <c r="C46" s="12" t="s">
        <v>47</v>
      </c>
      <c r="D46" s="12" t="s">
        <v>61</v>
      </c>
      <c r="E46" s="12" t="s">
        <v>59</v>
      </c>
      <c r="F46" s="12" t="s">
        <v>62</v>
      </c>
      <c r="G46" s="12" t="s">
        <v>51</v>
      </c>
      <c r="H46" s="12" t="s">
        <v>88</v>
      </c>
      <c r="I46" s="12" t="s">
        <v>89</v>
      </c>
      <c r="J46" s="39">
        <v>4</v>
      </c>
      <c r="K46" s="24">
        <v>210000</v>
      </c>
      <c r="L46" s="15">
        <v>0</v>
      </c>
      <c r="M46" s="15">
        <v>0</v>
      </c>
      <c r="N46" s="16">
        <f t="shared" si="6"/>
        <v>210000</v>
      </c>
      <c r="O46" s="17"/>
      <c r="P46" s="17"/>
      <c r="Q46" s="17"/>
      <c r="R46" s="16">
        <f t="shared" si="7"/>
        <v>210000</v>
      </c>
      <c r="S46" s="15">
        <f>11873.28+28714.5+7599.72</f>
        <v>48187.5</v>
      </c>
      <c r="T46" s="18">
        <f t="shared" si="8"/>
        <v>0.2294642857142857</v>
      </c>
      <c r="U46" s="41">
        <f>11873.28+28714.5+7599.72</f>
        <v>48187.5</v>
      </c>
      <c r="V46" s="18">
        <f t="shared" si="9"/>
        <v>0.2294642857142857</v>
      </c>
      <c r="W46" s="15">
        <f>11873.28+28714.5+7599.72</f>
        <v>48187.5</v>
      </c>
      <c r="X46" s="18">
        <f t="shared" si="10"/>
        <v>0.2294642857142857</v>
      </c>
      <c r="Y46" s="1"/>
      <c r="Z46" s="1"/>
      <c r="AA46" s="1"/>
    </row>
    <row r="47" spans="1:27" ht="45">
      <c r="A47" s="11" t="s">
        <v>84</v>
      </c>
      <c r="B47" s="30" t="s">
        <v>85</v>
      </c>
      <c r="C47" s="30" t="s">
        <v>47</v>
      </c>
      <c r="D47" s="30" t="s">
        <v>104</v>
      </c>
      <c r="E47" s="12" t="s">
        <v>59</v>
      </c>
      <c r="F47" s="30" t="s">
        <v>105</v>
      </c>
      <c r="G47" s="30" t="s">
        <v>51</v>
      </c>
      <c r="H47" s="30" t="s">
        <v>88</v>
      </c>
      <c r="I47" s="12" t="s">
        <v>89</v>
      </c>
      <c r="J47" s="13">
        <v>3</v>
      </c>
      <c r="K47" s="24">
        <v>960000</v>
      </c>
      <c r="L47" s="15">
        <v>60000</v>
      </c>
      <c r="M47" s="15">
        <v>60000</v>
      </c>
      <c r="N47" s="16">
        <f t="shared" si="6"/>
        <v>960000</v>
      </c>
      <c r="O47" s="17"/>
      <c r="P47" s="17"/>
      <c r="Q47" s="17"/>
      <c r="R47" s="16">
        <f t="shared" si="7"/>
        <v>960000</v>
      </c>
      <c r="S47" s="14">
        <v>434973.76</v>
      </c>
      <c r="T47" s="18">
        <f t="shared" si="8"/>
        <v>0.45309766666666668</v>
      </c>
      <c r="U47" s="19">
        <v>434973.76</v>
      </c>
      <c r="V47" s="18">
        <f t="shared" si="9"/>
        <v>0.45309766666666668</v>
      </c>
      <c r="W47" s="15">
        <f>430566.21</f>
        <v>430566.21</v>
      </c>
      <c r="X47" s="18">
        <f t="shared" si="10"/>
        <v>0.44850646875</v>
      </c>
      <c r="Y47" s="1"/>
      <c r="Z47" s="1"/>
      <c r="AA47" s="1"/>
    </row>
    <row r="48" spans="1:27" ht="45">
      <c r="A48" s="11" t="s">
        <v>84</v>
      </c>
      <c r="B48" s="30" t="s">
        <v>85</v>
      </c>
      <c r="C48" s="30" t="s">
        <v>47</v>
      </c>
      <c r="D48" s="30" t="s">
        <v>67</v>
      </c>
      <c r="E48" s="12" t="s">
        <v>59</v>
      </c>
      <c r="F48" s="30" t="s">
        <v>68</v>
      </c>
      <c r="G48" s="30" t="s">
        <v>51</v>
      </c>
      <c r="H48" s="30" t="s">
        <v>88</v>
      </c>
      <c r="I48" s="12" t="s">
        <v>89</v>
      </c>
      <c r="J48" s="13">
        <v>3</v>
      </c>
      <c r="K48" s="24">
        <v>50000</v>
      </c>
      <c r="L48" s="15">
        <v>0</v>
      </c>
      <c r="M48" s="15">
        <v>0</v>
      </c>
      <c r="N48" s="16">
        <f t="shared" si="6"/>
        <v>50000</v>
      </c>
      <c r="O48" s="17"/>
      <c r="P48" s="17"/>
      <c r="Q48" s="17"/>
      <c r="R48" s="16">
        <f t="shared" si="7"/>
        <v>50000</v>
      </c>
      <c r="S48" s="14">
        <v>0</v>
      </c>
      <c r="T48" s="18">
        <f t="shared" si="8"/>
        <v>0</v>
      </c>
      <c r="U48" s="19">
        <v>0</v>
      </c>
      <c r="V48" s="18">
        <f t="shared" si="9"/>
        <v>0</v>
      </c>
      <c r="W48" s="15">
        <v>0</v>
      </c>
      <c r="X48" s="18">
        <f t="shared" si="10"/>
        <v>0</v>
      </c>
      <c r="Y48" s="1"/>
      <c r="Z48" s="1"/>
      <c r="AA48" s="1"/>
    </row>
    <row r="49" spans="1:27" ht="45">
      <c r="A49" s="11" t="s">
        <v>84</v>
      </c>
      <c r="B49" s="30" t="s">
        <v>85</v>
      </c>
      <c r="C49" s="30" t="s">
        <v>47</v>
      </c>
      <c r="D49" s="30" t="s">
        <v>67</v>
      </c>
      <c r="E49" s="12" t="s">
        <v>59</v>
      </c>
      <c r="F49" s="30" t="s">
        <v>68</v>
      </c>
      <c r="G49" s="30" t="s">
        <v>51</v>
      </c>
      <c r="H49" s="58" t="s">
        <v>121</v>
      </c>
      <c r="I49" s="12" t="s">
        <v>89</v>
      </c>
      <c r="J49" s="13">
        <v>3</v>
      </c>
      <c r="K49" s="24">
        <v>0</v>
      </c>
      <c r="L49" s="15">
        <v>180000</v>
      </c>
      <c r="M49" s="15">
        <v>0</v>
      </c>
      <c r="N49" s="16">
        <f t="shared" si="6"/>
        <v>180000</v>
      </c>
      <c r="O49" s="17"/>
      <c r="P49" s="17"/>
      <c r="Q49" s="17"/>
      <c r="R49" s="16">
        <f t="shared" si="7"/>
        <v>180000</v>
      </c>
      <c r="S49" s="14">
        <v>124864.02</v>
      </c>
      <c r="T49" s="18">
        <f t="shared" si="8"/>
        <v>0.693689</v>
      </c>
      <c r="U49" s="19">
        <v>77599.14</v>
      </c>
      <c r="V49" s="18">
        <f t="shared" si="9"/>
        <v>0.43110633333333331</v>
      </c>
      <c r="W49" s="15">
        <v>77599.14</v>
      </c>
      <c r="X49" s="18">
        <f t="shared" si="10"/>
        <v>0.43110633333333331</v>
      </c>
      <c r="Y49" s="1"/>
      <c r="Z49" s="1"/>
      <c r="AA49" s="1"/>
    </row>
    <row r="50" spans="1:27" ht="54">
      <c r="A50" s="11" t="s">
        <v>84</v>
      </c>
      <c r="B50" s="12" t="s">
        <v>85</v>
      </c>
      <c r="C50" s="12" t="s">
        <v>106</v>
      </c>
      <c r="D50" s="12" t="s">
        <v>107</v>
      </c>
      <c r="E50" s="12" t="s">
        <v>49</v>
      </c>
      <c r="F50" s="12" t="s">
        <v>108</v>
      </c>
      <c r="G50" s="12" t="s">
        <v>51</v>
      </c>
      <c r="H50" s="12" t="s">
        <v>88</v>
      </c>
      <c r="I50" s="12" t="s">
        <v>89</v>
      </c>
      <c r="J50" s="13">
        <v>3</v>
      </c>
      <c r="K50" s="42">
        <f>27694385-K51</f>
        <v>18636785</v>
      </c>
      <c r="L50" s="14">
        <f>8776845.7-L51</f>
        <v>4253960.9999999991</v>
      </c>
      <c r="M50" s="14">
        <v>109000</v>
      </c>
      <c r="N50" s="43">
        <f t="shared" si="6"/>
        <v>22781746</v>
      </c>
      <c r="O50" s="44"/>
      <c r="P50" s="44"/>
      <c r="Q50" s="44"/>
      <c r="R50" s="43">
        <f t="shared" si="7"/>
        <v>22781746</v>
      </c>
      <c r="S50" s="25">
        <f>34183634.52-S51</f>
        <v>20771600.820000004</v>
      </c>
      <c r="T50" s="45">
        <f t="shared" si="8"/>
        <v>0.91176509561646435</v>
      </c>
      <c r="U50" s="19">
        <f>17750525.68-U51</f>
        <v>10233408.890000001</v>
      </c>
      <c r="V50" s="45">
        <f t="shared" si="9"/>
        <v>0.44919335374909369</v>
      </c>
      <c r="W50" s="14">
        <f>17681854.4-W51</f>
        <v>10188849.549999999</v>
      </c>
      <c r="X50" s="45">
        <f t="shared" si="10"/>
        <v>0.44723743079217892</v>
      </c>
      <c r="Y50" s="1"/>
      <c r="Z50" s="1"/>
      <c r="AA50" s="1"/>
    </row>
    <row r="51" spans="1:27" ht="54">
      <c r="A51" s="11" t="s">
        <v>84</v>
      </c>
      <c r="B51" s="30" t="s">
        <v>85</v>
      </c>
      <c r="C51" s="30" t="s">
        <v>106</v>
      </c>
      <c r="D51" s="30" t="s">
        <v>107</v>
      </c>
      <c r="E51" s="12" t="s">
        <v>49</v>
      </c>
      <c r="F51" s="12" t="s">
        <v>108</v>
      </c>
      <c r="G51" s="30" t="s">
        <v>51</v>
      </c>
      <c r="H51" s="30" t="s">
        <v>88</v>
      </c>
      <c r="I51" s="12" t="s">
        <v>89</v>
      </c>
      <c r="J51" s="39">
        <v>4</v>
      </c>
      <c r="K51" s="42">
        <f>4997500+4060100</f>
        <v>9057600</v>
      </c>
      <c r="L51" s="15">
        <f>674000+3848884.7</f>
        <v>4522884.7</v>
      </c>
      <c r="M51" s="14">
        <v>0</v>
      </c>
      <c r="N51" s="16">
        <f t="shared" si="6"/>
        <v>13580484.699999999</v>
      </c>
      <c r="O51" s="17"/>
      <c r="P51" s="17"/>
      <c r="Q51" s="17"/>
      <c r="R51" s="16">
        <f t="shared" si="7"/>
        <v>13580484.699999999</v>
      </c>
      <c r="S51" s="25">
        <f>3331666.64+2339833.36+1753884.7+7450+5979199</f>
        <v>13412033.699999999</v>
      </c>
      <c r="T51" s="18">
        <f t="shared" si="8"/>
        <v>0.98759609809803028</v>
      </c>
      <c r="U51" s="41">
        <f>371308.45+894334.34+264825+7450+5979199</f>
        <v>7517116.79</v>
      </c>
      <c r="V51" s="18">
        <f t="shared" si="9"/>
        <v>0.55352345340074649</v>
      </c>
      <c r="W51" s="15">
        <f>347196.51+894334.34+264825+7450+5979199</f>
        <v>7493004.8499999996</v>
      </c>
      <c r="X51" s="18">
        <f t="shared" si="10"/>
        <v>0.55174796890717748</v>
      </c>
      <c r="Y51" s="1"/>
      <c r="Z51" s="1"/>
      <c r="AA51" s="1"/>
    </row>
    <row r="52" spans="1:27" ht="54">
      <c r="A52" s="11" t="s">
        <v>84</v>
      </c>
      <c r="B52" s="30" t="s">
        <v>85</v>
      </c>
      <c r="C52" s="30" t="s">
        <v>106</v>
      </c>
      <c r="D52" s="30" t="s">
        <v>109</v>
      </c>
      <c r="E52" s="12" t="s">
        <v>59</v>
      </c>
      <c r="F52" s="30" t="s">
        <v>110</v>
      </c>
      <c r="G52" s="30" t="s">
        <v>51</v>
      </c>
      <c r="H52" s="30" t="s">
        <v>88</v>
      </c>
      <c r="I52" s="12" t="s">
        <v>89</v>
      </c>
      <c r="J52" s="13">
        <v>3</v>
      </c>
      <c r="K52" s="42">
        <f>11991900-K53</f>
        <v>11200000</v>
      </c>
      <c r="L52" s="15">
        <v>46607.24</v>
      </c>
      <c r="M52" s="15">
        <f>4865568.24-M53</f>
        <v>4191568.24</v>
      </c>
      <c r="N52" s="16">
        <f t="shared" si="6"/>
        <v>7055039</v>
      </c>
      <c r="O52" s="17"/>
      <c r="P52" s="17"/>
      <c r="Q52" s="17"/>
      <c r="R52" s="16">
        <f t="shared" si="7"/>
        <v>7055039</v>
      </c>
      <c r="S52" s="14">
        <v>6967024.7199999997</v>
      </c>
      <c r="T52" s="18">
        <f t="shared" si="8"/>
        <v>0.98752462176325317</v>
      </c>
      <c r="U52" s="19">
        <v>5502034.7999999998</v>
      </c>
      <c r="V52" s="18">
        <f t="shared" si="9"/>
        <v>0.77987305243812255</v>
      </c>
      <c r="W52" s="15">
        <v>5499199.4800000004</v>
      </c>
      <c r="X52" s="18">
        <f t="shared" si="10"/>
        <v>0.77947116663706617</v>
      </c>
      <c r="Y52" s="1"/>
      <c r="Z52" s="1"/>
      <c r="AA52" s="1"/>
    </row>
    <row r="53" spans="1:27" ht="54">
      <c r="A53" s="11" t="s">
        <v>84</v>
      </c>
      <c r="B53" s="30" t="s">
        <v>85</v>
      </c>
      <c r="C53" s="30" t="s">
        <v>106</v>
      </c>
      <c r="D53" s="30" t="s">
        <v>109</v>
      </c>
      <c r="E53" s="12" t="s">
        <v>59</v>
      </c>
      <c r="F53" s="30" t="s">
        <v>110</v>
      </c>
      <c r="G53" s="30" t="s">
        <v>51</v>
      </c>
      <c r="H53" s="30" t="s">
        <v>88</v>
      </c>
      <c r="I53" s="12" t="s">
        <v>89</v>
      </c>
      <c r="J53" s="39">
        <v>4</v>
      </c>
      <c r="K53" s="42">
        <f>100000+691900</f>
        <v>791900</v>
      </c>
      <c r="L53" s="15">
        <v>0</v>
      </c>
      <c r="M53" s="15">
        <v>674000</v>
      </c>
      <c r="N53" s="16">
        <f t="shared" si="6"/>
        <v>117900</v>
      </c>
      <c r="O53" s="17"/>
      <c r="P53" s="17"/>
      <c r="Q53" s="17"/>
      <c r="R53" s="16">
        <f t="shared" si="7"/>
        <v>117900</v>
      </c>
      <c r="S53" s="14">
        <v>0</v>
      </c>
      <c r="T53" s="18">
        <f t="shared" si="8"/>
        <v>0</v>
      </c>
      <c r="U53" s="41">
        <v>0</v>
      </c>
      <c r="V53" s="18">
        <f t="shared" si="9"/>
        <v>0</v>
      </c>
      <c r="W53" s="15">
        <v>0</v>
      </c>
      <c r="X53" s="18">
        <f t="shared" si="10"/>
        <v>0</v>
      </c>
      <c r="Y53" s="1"/>
      <c r="Z53" s="1"/>
      <c r="AA53" s="1"/>
    </row>
    <row r="54" spans="1:27" ht="45">
      <c r="A54" s="11" t="s">
        <v>84</v>
      </c>
      <c r="B54" s="30" t="s">
        <v>85</v>
      </c>
      <c r="C54" s="30" t="s">
        <v>69</v>
      </c>
      <c r="D54" s="30" t="s">
        <v>70</v>
      </c>
      <c r="E54" s="12" t="s">
        <v>59</v>
      </c>
      <c r="F54" s="30" t="s">
        <v>111</v>
      </c>
      <c r="G54" s="30" t="s">
        <v>51</v>
      </c>
      <c r="H54" s="30" t="s">
        <v>88</v>
      </c>
      <c r="I54" s="12" t="s">
        <v>89</v>
      </c>
      <c r="J54" s="13">
        <v>3</v>
      </c>
      <c r="K54" s="24">
        <v>1255215</v>
      </c>
      <c r="L54" s="15">
        <v>437016.72</v>
      </c>
      <c r="M54" s="15">
        <v>437016.72</v>
      </c>
      <c r="N54" s="16">
        <f t="shared" si="6"/>
        <v>1255215</v>
      </c>
      <c r="O54" s="17"/>
      <c r="P54" s="17"/>
      <c r="Q54" s="17"/>
      <c r="R54" s="16">
        <f t="shared" si="7"/>
        <v>1255215</v>
      </c>
      <c r="S54" s="14">
        <v>1104367.21</v>
      </c>
      <c r="T54" s="18">
        <f t="shared" si="8"/>
        <v>0.87982314583557397</v>
      </c>
      <c r="U54" s="19">
        <v>341538.65</v>
      </c>
      <c r="V54" s="18">
        <f t="shared" si="9"/>
        <v>0.27209573658695924</v>
      </c>
      <c r="W54" s="15">
        <v>340440.3</v>
      </c>
      <c r="X54" s="18">
        <f t="shared" si="10"/>
        <v>0.27122070720952185</v>
      </c>
      <c r="Y54" s="1"/>
      <c r="Z54" s="1"/>
      <c r="AA54" s="1"/>
    </row>
    <row r="55" spans="1:27" ht="45">
      <c r="A55" s="11" t="s">
        <v>84</v>
      </c>
      <c r="B55" s="30" t="s">
        <v>85</v>
      </c>
      <c r="C55" s="30" t="s">
        <v>69</v>
      </c>
      <c r="D55" s="30" t="s">
        <v>70</v>
      </c>
      <c r="E55" s="12" t="s">
        <v>59</v>
      </c>
      <c r="F55" s="30" t="s">
        <v>111</v>
      </c>
      <c r="G55" s="30" t="s">
        <v>51</v>
      </c>
      <c r="H55" s="58" t="s">
        <v>121</v>
      </c>
      <c r="I55" s="12" t="s">
        <v>89</v>
      </c>
      <c r="J55" s="13">
        <v>3</v>
      </c>
      <c r="K55" s="24">
        <v>0</v>
      </c>
      <c r="L55" s="15">
        <v>155443</v>
      </c>
      <c r="M55" s="15">
        <v>0</v>
      </c>
      <c r="N55" s="16">
        <f t="shared" si="6"/>
        <v>155443</v>
      </c>
      <c r="O55" s="17"/>
      <c r="P55" s="17"/>
      <c r="Q55" s="17"/>
      <c r="R55" s="16">
        <f t="shared" si="7"/>
        <v>155443</v>
      </c>
      <c r="S55" s="14">
        <v>0</v>
      </c>
      <c r="T55" s="18">
        <f t="shared" si="8"/>
        <v>0</v>
      </c>
      <c r="U55" s="19">
        <v>0</v>
      </c>
      <c r="V55" s="18">
        <f t="shared" si="9"/>
        <v>0</v>
      </c>
      <c r="W55" s="15">
        <v>0</v>
      </c>
      <c r="X55" s="18">
        <f t="shared" si="10"/>
        <v>0</v>
      </c>
      <c r="Y55" s="1"/>
      <c r="Z55" s="1"/>
      <c r="AA55" s="1"/>
    </row>
    <row r="56" spans="1:27" ht="45">
      <c r="A56" s="11" t="s">
        <v>84</v>
      </c>
      <c r="B56" s="30" t="s">
        <v>85</v>
      </c>
      <c r="C56" s="30" t="s">
        <v>69</v>
      </c>
      <c r="D56" s="30" t="s">
        <v>112</v>
      </c>
      <c r="E56" s="12" t="s">
        <v>59</v>
      </c>
      <c r="F56" s="30" t="s">
        <v>73</v>
      </c>
      <c r="G56" s="30" t="s">
        <v>51</v>
      </c>
      <c r="H56" s="30" t="s">
        <v>113</v>
      </c>
      <c r="I56" s="30" t="s">
        <v>114</v>
      </c>
      <c r="J56" s="47">
        <v>3</v>
      </c>
      <c r="K56" s="24">
        <v>1175000</v>
      </c>
      <c r="L56" s="15">
        <v>163960</v>
      </c>
      <c r="M56" s="15">
        <v>163960</v>
      </c>
      <c r="N56" s="16">
        <f t="shared" si="6"/>
        <v>1175000</v>
      </c>
      <c r="O56" s="17"/>
      <c r="P56" s="17"/>
      <c r="Q56" s="17"/>
      <c r="R56" s="16">
        <f t="shared" si="7"/>
        <v>1175000</v>
      </c>
      <c r="S56" s="14">
        <v>656368</v>
      </c>
      <c r="T56" s="18">
        <f t="shared" si="8"/>
        <v>0.5586110638297872</v>
      </c>
      <c r="U56" s="19">
        <v>378765</v>
      </c>
      <c r="V56" s="18">
        <f t="shared" si="9"/>
        <v>0.3223531914893617</v>
      </c>
      <c r="W56" s="15">
        <v>376586.45</v>
      </c>
      <c r="X56" s="18">
        <f t="shared" si="10"/>
        <v>0.32049910638297874</v>
      </c>
      <c r="Y56" s="1"/>
      <c r="Z56" s="1"/>
      <c r="AA56" s="1"/>
    </row>
    <row r="57" spans="1:27" ht="45">
      <c r="A57" s="11" t="s">
        <v>84</v>
      </c>
      <c r="B57" s="30" t="s">
        <v>85</v>
      </c>
      <c r="C57" s="30" t="s">
        <v>69</v>
      </c>
      <c r="D57" s="30" t="s">
        <v>112</v>
      </c>
      <c r="E57" s="12" t="s">
        <v>59</v>
      </c>
      <c r="F57" s="30" t="s">
        <v>73</v>
      </c>
      <c r="G57" s="30" t="s">
        <v>51</v>
      </c>
      <c r="H57" s="58" t="s">
        <v>122</v>
      </c>
      <c r="I57" s="30" t="s">
        <v>114</v>
      </c>
      <c r="J57" s="39">
        <v>4</v>
      </c>
      <c r="K57" s="24">
        <v>0</v>
      </c>
      <c r="L57" s="15">
        <v>6000</v>
      </c>
      <c r="M57" s="15">
        <v>0</v>
      </c>
      <c r="N57" s="16">
        <f t="shared" si="6"/>
        <v>6000</v>
      </c>
      <c r="O57" s="17"/>
      <c r="P57" s="17"/>
      <c r="Q57" s="17"/>
      <c r="R57" s="16">
        <f t="shared" si="7"/>
        <v>6000</v>
      </c>
      <c r="S57" s="14">
        <v>0</v>
      </c>
      <c r="T57" s="18">
        <f t="shared" si="8"/>
        <v>0</v>
      </c>
      <c r="U57" s="41">
        <v>0</v>
      </c>
      <c r="V57" s="18">
        <f t="shared" si="9"/>
        <v>0</v>
      </c>
      <c r="W57" s="15">
        <v>0</v>
      </c>
      <c r="X57" s="18">
        <f t="shared" si="10"/>
        <v>0</v>
      </c>
      <c r="Y57" s="1"/>
      <c r="Z57" s="1"/>
      <c r="AA57" s="1"/>
    </row>
    <row r="58" spans="1:27">
      <c r="A58" s="78" t="s">
        <v>115</v>
      </c>
      <c r="B58" s="62"/>
      <c r="C58" s="62"/>
      <c r="D58" s="62"/>
      <c r="E58" s="62"/>
      <c r="F58" s="62"/>
      <c r="G58" s="62"/>
      <c r="H58" s="62"/>
      <c r="I58" s="62"/>
      <c r="J58" s="63"/>
      <c r="K58" s="31">
        <f t="shared" ref="K58:S58" si="11">SUM(K30:K57)</f>
        <v>268375000</v>
      </c>
      <c r="L58" s="31">
        <f t="shared" si="11"/>
        <v>67694188.109999999</v>
      </c>
      <c r="M58" s="31">
        <f t="shared" si="11"/>
        <v>48683120.079999998</v>
      </c>
      <c r="N58" s="31">
        <f t="shared" si="11"/>
        <v>287386068.03000003</v>
      </c>
      <c r="O58" s="31">
        <f t="shared" si="11"/>
        <v>0</v>
      </c>
      <c r="P58" s="31">
        <f t="shared" si="11"/>
        <v>0</v>
      </c>
      <c r="Q58" s="31">
        <f t="shared" si="11"/>
        <v>0</v>
      </c>
      <c r="R58" s="31">
        <f t="shared" si="11"/>
        <v>287386068.03000003</v>
      </c>
      <c r="S58" s="31">
        <f t="shared" si="11"/>
        <v>209121300.34999996</v>
      </c>
      <c r="T58" s="32">
        <f t="shared" si="8"/>
        <v>0.72766679951990554</v>
      </c>
      <c r="U58" s="31">
        <f>SUM(U30:U57)</f>
        <v>106115432.90000002</v>
      </c>
      <c r="V58" s="32">
        <f t="shared" si="9"/>
        <v>0.36924348360868597</v>
      </c>
      <c r="W58" s="31">
        <f>SUM(W30:W57)</f>
        <v>105375070.17999999</v>
      </c>
      <c r="X58" s="32">
        <f t="shared" si="10"/>
        <v>0.3666672880224659</v>
      </c>
      <c r="Y58" s="1"/>
      <c r="Z58" s="1"/>
      <c r="AA58" s="1"/>
    </row>
    <row r="59" spans="1:27">
      <c r="A59" s="79" t="s">
        <v>116</v>
      </c>
      <c r="B59" s="62"/>
      <c r="C59" s="62"/>
      <c r="D59" s="62"/>
      <c r="E59" s="62"/>
      <c r="F59" s="62"/>
      <c r="G59" s="62"/>
      <c r="H59" s="62"/>
      <c r="I59" s="62"/>
      <c r="J59" s="63"/>
      <c r="K59" s="48">
        <f t="shared" ref="K59:S59" si="12">SUM(K27+K58)</f>
        <v>1368008000</v>
      </c>
      <c r="L59" s="48">
        <f t="shared" si="12"/>
        <v>115150692.06999999</v>
      </c>
      <c r="M59" s="48">
        <f t="shared" si="12"/>
        <v>96139624.039999992</v>
      </c>
      <c r="N59" s="48">
        <f t="shared" si="12"/>
        <v>1387019068.0300002</v>
      </c>
      <c r="O59" s="48">
        <f t="shared" si="12"/>
        <v>0</v>
      </c>
      <c r="P59" s="48">
        <f t="shared" si="12"/>
        <v>0</v>
      </c>
      <c r="Q59" s="48">
        <f t="shared" si="12"/>
        <v>-49050046.060000002</v>
      </c>
      <c r="R59" s="48">
        <f t="shared" si="12"/>
        <v>1337969021.97</v>
      </c>
      <c r="S59" s="48">
        <f t="shared" si="12"/>
        <v>848307947.11999989</v>
      </c>
      <c r="T59" s="49">
        <f t="shared" si="8"/>
        <v>0.63402659791851346</v>
      </c>
      <c r="U59" s="48">
        <f>SUM(U27+U58)</f>
        <v>713940500.60999978</v>
      </c>
      <c r="V59" s="49">
        <f t="shared" si="9"/>
        <v>0.53360017226617651</v>
      </c>
      <c r="W59" s="48">
        <f>SUM(W27+W58)</f>
        <v>688340714.27999985</v>
      </c>
      <c r="X59" s="49">
        <f t="shared" si="10"/>
        <v>0.51446685459615515</v>
      </c>
      <c r="Y59" s="21"/>
      <c r="Z59" s="1"/>
      <c r="AA59" s="1"/>
    </row>
    <row r="60" spans="1:27">
      <c r="A60" s="50" t="s">
        <v>117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2"/>
      <c r="N60" s="59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1"/>
      <c r="Z60" s="1"/>
      <c r="AA60" s="1"/>
    </row>
    <row r="61" spans="1:27">
      <c r="A61" s="50" t="s">
        <v>118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2"/>
      <c r="N61" s="59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1"/>
      <c r="Z61" s="54"/>
      <c r="AA61" s="1"/>
    </row>
    <row r="62" spans="1:27">
      <c r="A62" s="80" t="s">
        <v>119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3"/>
      <c r="N62" s="59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1"/>
      <c r="Z62" s="54"/>
      <c r="AA62" s="1"/>
    </row>
    <row r="63" spans="1:27">
      <c r="A63" s="8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  <c r="O63" s="85"/>
      <c r="P63" s="85"/>
      <c r="Q63" s="84"/>
      <c r="R63" s="84"/>
      <c r="S63" s="84"/>
      <c r="T63" s="84"/>
      <c r="U63" s="84"/>
      <c r="V63" s="84"/>
      <c r="W63" s="84"/>
      <c r="X63" s="55"/>
      <c r="Y63" s="1"/>
      <c r="Z63" s="56"/>
      <c r="AA63" s="1"/>
    </row>
    <row r="64" spans="1:27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55"/>
      <c r="Y64" s="1"/>
      <c r="Z64" s="56"/>
      <c r="AA64" s="1"/>
    </row>
    <row r="65" spans="1:27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6"/>
      <c r="L65" s="86"/>
      <c r="M65" s="86"/>
      <c r="N65" s="86"/>
      <c r="O65" s="86"/>
      <c r="P65" s="86"/>
      <c r="Q65" s="84"/>
      <c r="R65" s="84"/>
      <c r="S65" s="84"/>
      <c r="T65" s="84"/>
      <c r="U65" s="87"/>
      <c r="V65" s="84"/>
      <c r="W65" s="88"/>
      <c r="X65" s="55"/>
      <c r="Y65" s="21"/>
      <c r="Z65" s="1"/>
      <c r="AA65" s="1"/>
    </row>
    <row r="66" spans="1:27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6"/>
      <c r="L66" s="86"/>
      <c r="M66" s="86"/>
      <c r="N66" s="86"/>
      <c r="O66" s="86"/>
      <c r="P66" s="86"/>
      <c r="Q66" s="84"/>
      <c r="R66" s="84"/>
      <c r="S66" s="84"/>
      <c r="T66" s="84"/>
      <c r="U66" s="88"/>
      <c r="V66" s="84"/>
      <c r="W66" s="84"/>
      <c r="X66" s="55"/>
      <c r="Y66" s="21"/>
      <c r="Z66" s="1"/>
      <c r="AA66" s="1"/>
    </row>
    <row r="67" spans="1:27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6"/>
      <c r="L67" s="86"/>
      <c r="M67" s="86"/>
      <c r="N67" s="86"/>
      <c r="O67" s="86"/>
      <c r="P67" s="86"/>
      <c r="Q67" s="84"/>
      <c r="R67" s="84"/>
      <c r="S67" s="84"/>
      <c r="T67" s="84"/>
      <c r="U67" s="89"/>
      <c r="V67" s="84"/>
      <c r="W67" s="88"/>
      <c r="X67" s="55"/>
      <c r="Y67" s="21"/>
      <c r="Z67" s="1"/>
      <c r="AA67" s="1"/>
    </row>
    <row r="68" spans="1:27" ht="14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6"/>
      <c r="L68" s="86"/>
      <c r="M68" s="86"/>
      <c r="N68" s="86"/>
      <c r="O68" s="86"/>
      <c r="P68" s="86"/>
      <c r="Q68" s="84"/>
      <c r="R68" s="84"/>
      <c r="S68" s="84"/>
      <c r="T68" s="84"/>
      <c r="U68" s="89"/>
      <c r="V68" s="84"/>
      <c r="W68" s="84"/>
      <c r="X68" s="55"/>
      <c r="Y68" s="21"/>
      <c r="Z68" s="1"/>
      <c r="AA68" s="1"/>
    </row>
    <row r="69" spans="1:27" ht="14.25">
      <c r="A69" s="90"/>
      <c r="B69" s="90"/>
      <c r="C69" s="90"/>
      <c r="D69" s="90"/>
      <c r="E69" s="90"/>
      <c r="F69" s="90"/>
      <c r="G69" s="84"/>
      <c r="H69" s="84"/>
      <c r="I69" s="84"/>
      <c r="J69" s="84"/>
      <c r="K69" s="86"/>
      <c r="L69" s="84"/>
      <c r="M69" s="84"/>
      <c r="N69" s="84"/>
      <c r="O69" s="84"/>
      <c r="P69" s="84"/>
      <c r="Q69" s="84"/>
      <c r="R69" s="84"/>
      <c r="S69" s="85"/>
      <c r="T69" s="85"/>
      <c r="U69" s="104"/>
      <c r="V69" s="85"/>
      <c r="W69" s="85"/>
      <c r="X69" s="60"/>
      <c r="Y69" s="105"/>
      <c r="Z69" s="105"/>
      <c r="AA69" s="105"/>
    </row>
    <row r="70" spans="1:27" ht="14.25">
      <c r="A70" s="90"/>
      <c r="B70" s="90"/>
      <c r="C70" s="90"/>
      <c r="D70" s="90"/>
      <c r="E70" s="90"/>
      <c r="F70" s="90"/>
      <c r="G70" s="84"/>
      <c r="H70" s="84"/>
      <c r="I70" s="84"/>
      <c r="J70" s="84"/>
      <c r="K70" s="86"/>
      <c r="L70" s="84"/>
      <c r="M70" s="84"/>
      <c r="N70" s="84"/>
      <c r="O70" s="84"/>
      <c r="P70" s="84"/>
      <c r="Q70" s="84"/>
      <c r="R70" s="84"/>
      <c r="S70" s="85"/>
      <c r="T70" s="85"/>
      <c r="U70" s="85"/>
      <c r="V70" s="85"/>
      <c r="W70" s="85"/>
      <c r="X70" s="60"/>
      <c r="Y70" s="105"/>
      <c r="Z70" s="105"/>
      <c r="AA70" s="105"/>
    </row>
    <row r="71" spans="1:27" ht="15.75" customHeight="1">
      <c r="A71" s="90"/>
      <c r="B71" s="90"/>
      <c r="C71" s="90"/>
      <c r="D71" s="90"/>
      <c r="E71" s="90"/>
      <c r="F71" s="90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91"/>
      <c r="R71" s="90"/>
      <c r="S71" s="85"/>
      <c r="T71" s="106"/>
      <c r="U71" s="107"/>
      <c r="V71" s="104"/>
      <c r="W71" s="108"/>
      <c r="X71" s="60"/>
      <c r="Y71" s="109"/>
      <c r="Z71" s="105"/>
      <c r="AA71" s="105"/>
    </row>
    <row r="72" spans="1:27" ht="14.25">
      <c r="A72" s="90"/>
      <c r="B72" s="90"/>
      <c r="C72" s="90"/>
      <c r="D72" s="90"/>
      <c r="E72" s="90"/>
      <c r="F72" s="90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92"/>
      <c r="R72" s="93"/>
      <c r="S72" s="104"/>
      <c r="T72" s="110"/>
      <c r="U72" s="111"/>
      <c r="V72" s="104"/>
      <c r="W72" s="112"/>
      <c r="X72" s="60"/>
      <c r="Y72" s="109"/>
      <c r="Z72" s="105"/>
      <c r="AA72" s="105"/>
    </row>
    <row r="73" spans="1:27" ht="14.25">
      <c r="A73" s="84"/>
      <c r="B73" s="94"/>
      <c r="C73" s="94"/>
      <c r="D73" s="9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92"/>
      <c r="R73" s="93"/>
      <c r="S73" s="104"/>
      <c r="T73" s="110"/>
      <c r="U73" s="111"/>
      <c r="V73" s="104"/>
      <c r="W73" s="112"/>
      <c r="X73" s="105"/>
      <c r="Y73" s="109"/>
      <c r="Z73" s="105"/>
      <c r="AA73" s="105"/>
    </row>
    <row r="74" spans="1:27" ht="14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92"/>
      <c r="R74" s="93"/>
      <c r="S74" s="104"/>
      <c r="T74" s="110"/>
      <c r="U74" s="111"/>
      <c r="V74" s="85"/>
      <c r="W74" s="112"/>
      <c r="X74" s="105"/>
      <c r="Y74" s="105"/>
      <c r="Z74" s="105"/>
      <c r="AA74" s="105"/>
    </row>
    <row r="75" spans="1:27" ht="14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95"/>
      <c r="L75" s="96"/>
      <c r="M75" s="96"/>
      <c r="N75" s="96"/>
      <c r="O75" s="84"/>
      <c r="P75" s="84"/>
      <c r="Q75" s="97"/>
      <c r="R75" s="96"/>
      <c r="S75" s="85"/>
      <c r="T75" s="113"/>
      <c r="U75" s="114"/>
      <c r="V75" s="85"/>
      <c r="W75" s="104"/>
      <c r="X75" s="105"/>
      <c r="Y75" s="105"/>
      <c r="Z75" s="105"/>
      <c r="AA75" s="105"/>
    </row>
    <row r="76" spans="1:27" ht="14.25">
      <c r="A76" s="84"/>
      <c r="B76" s="84"/>
      <c r="C76" s="84"/>
      <c r="D76" s="84"/>
      <c r="E76" s="84"/>
      <c r="F76" s="95"/>
      <c r="G76" s="96"/>
      <c r="H76" s="96"/>
      <c r="I76" s="96"/>
      <c r="J76" s="85"/>
      <c r="K76" s="85"/>
      <c r="L76" s="85"/>
      <c r="M76" s="85"/>
      <c r="N76" s="85"/>
      <c r="O76" s="85"/>
      <c r="P76" s="85"/>
      <c r="Q76" s="84"/>
      <c r="R76" s="84"/>
      <c r="S76" s="85"/>
      <c r="T76" s="115"/>
      <c r="U76" s="104"/>
      <c r="V76" s="85"/>
      <c r="W76" s="85"/>
      <c r="X76" s="109"/>
      <c r="Y76" s="105"/>
      <c r="Z76" s="105"/>
      <c r="AA76" s="105"/>
    </row>
    <row r="77" spans="1:27" ht="14.25">
      <c r="A77" s="84"/>
      <c r="B77" s="84"/>
      <c r="C77" s="84"/>
      <c r="D77" s="84"/>
      <c r="E77" s="84"/>
      <c r="F77" s="84"/>
      <c r="G77" s="84"/>
      <c r="H77" s="84"/>
      <c r="I77" s="84"/>
      <c r="J77" s="85"/>
      <c r="K77" s="85"/>
      <c r="L77" s="85"/>
      <c r="M77" s="85"/>
      <c r="N77" s="85"/>
      <c r="O77" s="85"/>
      <c r="P77" s="85"/>
      <c r="Q77" s="84"/>
      <c r="R77" s="84"/>
      <c r="S77" s="85"/>
      <c r="T77" s="116"/>
      <c r="U77" s="111"/>
      <c r="V77" s="85"/>
      <c r="W77" s="117"/>
      <c r="X77" s="109"/>
      <c r="Y77" s="109"/>
      <c r="Z77" s="105"/>
      <c r="AA77" s="105"/>
    </row>
    <row r="78" spans="1:27" ht="14.25">
      <c r="A78" s="84"/>
      <c r="B78" s="84"/>
      <c r="C78" s="87"/>
      <c r="D78" s="98"/>
      <c r="E78" s="84"/>
      <c r="F78" s="87"/>
      <c r="G78" s="98"/>
      <c r="H78" s="84"/>
      <c r="I78" s="84"/>
      <c r="J78" s="85"/>
      <c r="K78" s="85"/>
      <c r="L78" s="101"/>
      <c r="M78" s="102"/>
      <c r="N78" s="103"/>
      <c r="O78" s="85"/>
      <c r="P78" s="85"/>
      <c r="Q78" s="84"/>
      <c r="R78" s="89"/>
      <c r="S78" s="85"/>
      <c r="T78" s="85"/>
      <c r="U78" s="85"/>
      <c r="V78" s="85"/>
      <c r="W78" s="85"/>
      <c r="X78" s="109"/>
      <c r="Y78" s="105"/>
      <c r="Z78" s="105"/>
      <c r="AA78" s="105"/>
    </row>
    <row r="79" spans="1:27" ht="14.25">
      <c r="A79" s="84"/>
      <c r="B79" s="84"/>
      <c r="C79" s="87"/>
      <c r="D79" s="98"/>
      <c r="E79" s="84"/>
      <c r="F79" s="87"/>
      <c r="G79" s="98"/>
      <c r="H79" s="84"/>
      <c r="I79" s="84"/>
      <c r="J79" s="85"/>
      <c r="K79" s="85"/>
      <c r="L79" s="101"/>
      <c r="M79" s="102"/>
      <c r="N79" s="85"/>
      <c r="O79" s="85"/>
      <c r="P79" s="85"/>
      <c r="Q79" s="84"/>
      <c r="R79" s="89"/>
      <c r="S79" s="85"/>
      <c r="T79" s="85"/>
      <c r="U79" s="85"/>
      <c r="V79" s="85"/>
      <c r="W79" s="85"/>
      <c r="X79" s="109"/>
      <c r="Y79" s="109"/>
      <c r="Z79" s="105"/>
      <c r="AA79" s="105"/>
    </row>
    <row r="80" spans="1:27" ht="14.25">
      <c r="A80" s="84"/>
      <c r="B80" s="84"/>
      <c r="C80" s="87"/>
      <c r="D80" s="99"/>
      <c r="E80" s="84"/>
      <c r="F80" s="87"/>
      <c r="G80" s="98"/>
      <c r="H80" s="84"/>
      <c r="I80" s="84"/>
      <c r="J80" s="85"/>
      <c r="K80" s="85"/>
      <c r="L80" s="85"/>
      <c r="M80" s="85"/>
      <c r="N80" s="85"/>
      <c r="O80" s="85"/>
      <c r="P80" s="85"/>
      <c r="Q80" s="84"/>
      <c r="R80" s="89"/>
      <c r="S80" s="85"/>
      <c r="T80" s="85"/>
      <c r="U80" s="103"/>
      <c r="V80" s="85"/>
      <c r="W80" s="104"/>
      <c r="X80" s="109"/>
      <c r="Y80" s="105"/>
      <c r="Z80" s="105"/>
      <c r="AA80" s="105"/>
    </row>
    <row r="81" spans="1:27" ht="14.25">
      <c r="A81" s="84"/>
      <c r="B81" s="84"/>
      <c r="C81" s="84"/>
      <c r="D81" s="84"/>
      <c r="E81" s="84"/>
      <c r="F81" s="84"/>
      <c r="G81" s="84"/>
      <c r="H81" s="84"/>
      <c r="I81" s="84"/>
      <c r="J81" s="85"/>
      <c r="K81" s="85"/>
      <c r="L81" s="85"/>
      <c r="M81" s="103"/>
      <c r="N81" s="85"/>
      <c r="O81" s="85"/>
      <c r="P81" s="85"/>
      <c r="Q81" s="84"/>
      <c r="R81" s="84"/>
      <c r="S81" s="85"/>
      <c r="T81" s="85"/>
      <c r="U81" s="103"/>
      <c r="V81" s="104"/>
      <c r="W81" s="104"/>
      <c r="X81" s="109"/>
      <c r="Y81" s="105"/>
      <c r="Z81" s="105"/>
      <c r="AA81" s="105"/>
    </row>
    <row r="82" spans="1:27" ht="14.25">
      <c r="A82" s="84"/>
      <c r="B82" s="84"/>
      <c r="C82" s="84"/>
      <c r="D82" s="84"/>
      <c r="E82" s="84"/>
      <c r="F82" s="84"/>
      <c r="G82" s="84"/>
      <c r="H82" s="84"/>
      <c r="I82" s="84"/>
      <c r="J82" s="85"/>
      <c r="K82" s="85"/>
      <c r="L82" s="85"/>
      <c r="M82" s="85"/>
      <c r="N82" s="85"/>
      <c r="O82" s="85"/>
      <c r="P82" s="85"/>
      <c r="Q82" s="84"/>
      <c r="R82" s="84"/>
      <c r="S82" s="85"/>
      <c r="T82" s="85"/>
      <c r="U82" s="103"/>
      <c r="V82" s="104"/>
      <c r="W82" s="104"/>
      <c r="X82" s="109"/>
      <c r="Y82" s="105"/>
      <c r="Z82" s="105"/>
      <c r="AA82" s="105"/>
    </row>
    <row r="83" spans="1:27" ht="14.25">
      <c r="A83" s="84"/>
      <c r="B83" s="84"/>
      <c r="C83" s="84"/>
      <c r="D83" s="84"/>
      <c r="E83" s="84"/>
      <c r="F83" s="84"/>
      <c r="G83" s="84"/>
      <c r="H83" s="84"/>
      <c r="I83" s="84"/>
      <c r="J83" s="85"/>
      <c r="K83" s="85"/>
      <c r="L83" s="85"/>
      <c r="M83" s="85"/>
      <c r="N83" s="85"/>
      <c r="O83" s="85"/>
      <c r="P83" s="85"/>
      <c r="Q83" s="84"/>
      <c r="R83" s="84"/>
      <c r="S83" s="85"/>
      <c r="T83" s="85"/>
      <c r="U83" s="85"/>
      <c r="V83" s="85"/>
      <c r="W83" s="85"/>
      <c r="X83" s="105"/>
      <c r="Y83" s="105"/>
      <c r="Z83" s="105"/>
      <c r="AA83" s="105"/>
    </row>
    <row r="84" spans="1:27" ht="14.25">
      <c r="A84" s="84"/>
      <c r="B84" s="84"/>
      <c r="C84" s="84"/>
      <c r="D84" s="84"/>
      <c r="E84" s="84"/>
      <c r="F84" s="84"/>
      <c r="G84" s="84"/>
      <c r="H84" s="84"/>
      <c r="I84" s="84"/>
      <c r="J84" s="85"/>
      <c r="K84" s="85"/>
      <c r="L84" s="101"/>
      <c r="M84" s="102"/>
      <c r="N84" s="103"/>
      <c r="O84" s="85"/>
      <c r="P84" s="85"/>
      <c r="Q84" s="84"/>
      <c r="R84" s="84"/>
      <c r="S84" s="84"/>
      <c r="T84" s="84"/>
      <c r="U84" s="84"/>
      <c r="V84" s="84"/>
      <c r="W84" s="84"/>
      <c r="X84" s="1"/>
      <c r="Y84" s="1"/>
      <c r="Z84" s="1"/>
      <c r="AA84" s="1"/>
    </row>
    <row r="85" spans="1:27">
      <c r="A85" s="84"/>
      <c r="B85" s="84"/>
      <c r="C85" s="84"/>
      <c r="D85" s="84"/>
      <c r="E85" s="84"/>
      <c r="F85" s="84"/>
      <c r="G85" s="84"/>
      <c r="H85" s="84"/>
      <c r="I85" s="84"/>
      <c r="J85" s="85"/>
      <c r="K85" s="85"/>
      <c r="L85" s="101"/>
      <c r="M85" s="102"/>
      <c r="N85" s="85"/>
      <c r="O85" s="85"/>
      <c r="P85" s="85"/>
      <c r="Q85" s="84"/>
      <c r="R85" s="84"/>
      <c r="S85" s="84"/>
      <c r="T85" s="84"/>
      <c r="U85" s="84"/>
      <c r="V85" s="84"/>
      <c r="W85" s="84"/>
      <c r="X85" s="1"/>
      <c r="Y85" s="1"/>
      <c r="Z85" s="1"/>
      <c r="AA85" s="1"/>
    </row>
    <row r="86" spans="1:27">
      <c r="A86" s="84"/>
      <c r="B86" s="84"/>
      <c r="C86" s="84"/>
      <c r="D86" s="89"/>
      <c r="E86" s="84"/>
      <c r="F86" s="84"/>
      <c r="G86" s="84"/>
      <c r="H86" s="84"/>
      <c r="I86" s="84"/>
      <c r="J86" s="85"/>
      <c r="K86" s="85"/>
      <c r="L86" s="85"/>
      <c r="M86" s="85"/>
      <c r="N86" s="85"/>
      <c r="O86" s="85"/>
      <c r="P86" s="85"/>
      <c r="Q86" s="84"/>
      <c r="R86" s="84"/>
      <c r="S86" s="84"/>
      <c r="T86" s="84"/>
      <c r="U86" s="84"/>
      <c r="V86" s="84"/>
      <c r="W86" s="84"/>
      <c r="X86" s="1"/>
      <c r="Y86" s="1"/>
      <c r="Z86" s="1"/>
      <c r="AA86" s="1"/>
    </row>
    <row r="87" spans="1:27">
      <c r="A87" s="84"/>
      <c r="B87" s="84"/>
      <c r="C87" s="84"/>
      <c r="D87" s="84"/>
      <c r="E87" s="84"/>
      <c r="F87" s="84"/>
      <c r="G87" s="84"/>
      <c r="H87" s="84"/>
      <c r="I87" s="84"/>
      <c r="J87" s="85"/>
      <c r="K87" s="85"/>
      <c r="L87" s="85"/>
      <c r="M87" s="103"/>
      <c r="N87" s="85"/>
      <c r="O87" s="85"/>
      <c r="P87" s="85"/>
      <c r="Q87" s="84"/>
      <c r="R87" s="84"/>
      <c r="S87" s="84"/>
      <c r="T87" s="84"/>
      <c r="U87" s="84"/>
      <c r="V87" s="84"/>
      <c r="W87" s="84"/>
      <c r="X87" s="1"/>
      <c r="Y87" s="1"/>
      <c r="Z87" s="1"/>
      <c r="AA87" s="1"/>
    </row>
    <row r="88" spans="1:27">
      <c r="A88" s="84"/>
      <c r="B88" s="84"/>
      <c r="C88" s="84"/>
      <c r="D88" s="84"/>
      <c r="E88" s="84"/>
      <c r="F88" s="84"/>
      <c r="G88" s="84"/>
      <c r="H88" s="84"/>
      <c r="I88" s="84"/>
      <c r="J88" s="85"/>
      <c r="K88" s="85"/>
      <c r="L88" s="85"/>
      <c r="M88" s="85"/>
      <c r="N88" s="85"/>
      <c r="O88" s="85"/>
      <c r="P88" s="85"/>
      <c r="Q88" s="84"/>
      <c r="R88" s="84"/>
      <c r="S88" s="84"/>
      <c r="T88" s="84"/>
      <c r="U88" s="84"/>
      <c r="V88" s="84"/>
      <c r="W88" s="84"/>
      <c r="X88" s="1"/>
      <c r="Y88" s="1"/>
      <c r="Z88" s="1"/>
      <c r="AA88" s="1"/>
    </row>
    <row r="89" spans="1:27">
      <c r="A89" s="84"/>
      <c r="B89" s="84"/>
      <c r="C89" s="84"/>
      <c r="D89" s="84"/>
      <c r="E89" s="84"/>
      <c r="F89" s="84"/>
      <c r="G89" s="84"/>
      <c r="H89" s="84"/>
      <c r="I89" s="84"/>
      <c r="J89" s="85"/>
      <c r="K89" s="85"/>
      <c r="L89" s="85"/>
      <c r="M89" s="85"/>
      <c r="N89" s="85"/>
      <c r="O89" s="85"/>
      <c r="P89" s="85"/>
      <c r="Q89" s="84"/>
      <c r="R89" s="84"/>
      <c r="S89" s="84"/>
      <c r="T89" s="84"/>
      <c r="U89" s="84"/>
      <c r="V89" s="84"/>
      <c r="W89" s="84"/>
      <c r="X89" s="1"/>
      <c r="Y89" s="1"/>
      <c r="Z89" s="1"/>
      <c r="AA89" s="1"/>
    </row>
    <row r="90" spans="1:27">
      <c r="A90" s="84"/>
      <c r="B90" s="84"/>
      <c r="C90" s="84"/>
      <c r="D90" s="84"/>
      <c r="E90" s="84"/>
      <c r="F90" s="84"/>
      <c r="G90" s="84"/>
      <c r="H90" s="84"/>
      <c r="I90" s="84"/>
      <c r="J90" s="85"/>
      <c r="K90" s="85"/>
      <c r="L90" s="101"/>
      <c r="M90" s="102"/>
      <c r="N90" s="103"/>
      <c r="O90" s="85"/>
      <c r="P90" s="85"/>
      <c r="Q90" s="84"/>
      <c r="R90" s="84"/>
      <c r="S90" s="84"/>
      <c r="T90" s="84"/>
      <c r="U90" s="84"/>
      <c r="V90" s="84"/>
      <c r="W90" s="84"/>
      <c r="X90" s="1"/>
      <c r="Y90" s="1"/>
      <c r="Z90" s="1"/>
      <c r="AA90" s="1"/>
    </row>
    <row r="91" spans="1:27">
      <c r="A91" s="84"/>
      <c r="B91" s="84"/>
      <c r="C91" s="84"/>
      <c r="D91" s="84"/>
      <c r="E91" s="84"/>
      <c r="F91" s="84"/>
      <c r="G91" s="84"/>
      <c r="H91" s="84"/>
      <c r="I91" s="84"/>
      <c r="J91" s="85"/>
      <c r="K91" s="85"/>
      <c r="L91" s="101"/>
      <c r="M91" s="102"/>
      <c r="N91" s="85"/>
      <c r="O91" s="85"/>
      <c r="P91" s="85"/>
      <c r="Q91" s="84"/>
      <c r="R91" s="84"/>
      <c r="S91" s="84"/>
      <c r="T91" s="84"/>
      <c r="U91" s="84"/>
      <c r="V91" s="84"/>
      <c r="W91" s="84"/>
      <c r="X91" s="1"/>
      <c r="Y91" s="1"/>
      <c r="Z91" s="1"/>
      <c r="AA91" s="1"/>
    </row>
    <row r="92" spans="1:27">
      <c r="A92" s="84"/>
      <c r="B92" s="84"/>
      <c r="C92" s="84"/>
      <c r="D92" s="84"/>
      <c r="E92" s="84"/>
      <c r="F92" s="84"/>
      <c r="G92" s="84"/>
      <c r="H92" s="84"/>
      <c r="I92" s="84"/>
      <c r="J92" s="85"/>
      <c r="K92" s="85"/>
      <c r="L92" s="85"/>
      <c r="M92" s="85"/>
      <c r="N92" s="104"/>
      <c r="O92" s="85"/>
      <c r="P92" s="85"/>
      <c r="Q92" s="84"/>
      <c r="R92" s="84"/>
      <c r="S92" s="84"/>
      <c r="T92" s="84"/>
      <c r="U92" s="84"/>
      <c r="V92" s="84"/>
      <c r="W92" s="84"/>
      <c r="X92" s="1"/>
      <c r="Y92" s="1"/>
      <c r="Z92" s="1"/>
      <c r="AA92" s="1"/>
    </row>
    <row r="93" spans="1:27">
      <c r="A93" s="84"/>
      <c r="B93" s="84"/>
      <c r="C93" s="84"/>
      <c r="D93" s="84"/>
      <c r="E93" s="84"/>
      <c r="F93" s="84"/>
      <c r="G93" s="84"/>
      <c r="H93" s="84"/>
      <c r="I93" s="84"/>
      <c r="J93" s="85"/>
      <c r="K93" s="85"/>
      <c r="L93" s="85"/>
      <c r="M93" s="103"/>
      <c r="N93" s="85"/>
      <c r="O93" s="85"/>
      <c r="P93" s="85"/>
      <c r="Q93" s="84"/>
      <c r="R93" s="84"/>
      <c r="S93" s="84"/>
      <c r="T93" s="84"/>
      <c r="U93" s="84"/>
      <c r="V93" s="84"/>
      <c r="W93" s="84"/>
      <c r="X93" s="1"/>
      <c r="Y93" s="1"/>
      <c r="Z93" s="1"/>
      <c r="AA93" s="1"/>
    </row>
    <row r="94" spans="1:27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100"/>
      <c r="O94" s="84"/>
      <c r="P94" s="84"/>
      <c r="Q94" s="84"/>
      <c r="R94" s="84"/>
      <c r="S94" s="84"/>
      <c r="T94" s="84"/>
      <c r="U94" s="84"/>
      <c r="V94" s="84"/>
      <c r="W94" s="84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32">
    <mergeCell ref="F76:I76"/>
    <mergeCell ref="A11:J11"/>
    <mergeCell ref="A12:B12"/>
    <mergeCell ref="C12:C13"/>
    <mergeCell ref="D12:D13"/>
    <mergeCell ref="E12:F12"/>
    <mergeCell ref="G12:G13"/>
    <mergeCell ref="H12:I12"/>
    <mergeCell ref="T75:U75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58:J58"/>
    <mergeCell ref="A59:J59"/>
    <mergeCell ref="A62:M62"/>
    <mergeCell ref="K75:N75"/>
    <mergeCell ref="A6:F6"/>
    <mergeCell ref="A7:F7"/>
    <mergeCell ref="P11:Q11"/>
    <mergeCell ref="R11:R12"/>
    <mergeCell ref="Q75:R75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2025-08-14T13:26:53Z</dcterms:modified>
</cp:coreProperties>
</file>