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tabRatio="872" firstSheet="1" activeTab="1"/>
  </bookViews>
  <sheets>
    <sheet name="JANEIRO 2022" sheetId="1" r:id="rId1"/>
    <sheet name="JULHO 2023" sheetId="14" r:id="rId2"/>
  </sheets>
  <definedNames>
    <definedName name="_xlnm.Print_Area" localSheetId="1">'JULHO 2023'!$A$1:$X$86</definedName>
  </definedNames>
  <calcPr calcId="124519"/>
  <extLst>
    <ext uri="GoogleSheetsCustomDataVersion2">
      <go:sheetsCustomData xmlns:go="http://customooxmlschemas.google.com/" r:id="rId23" roundtripDataChecksum="eJkRjsOGhX1QiaLrW0ME/4uFGXOKo2oZKKclBH6pn+c="/>
    </ext>
  </extLst>
</workbook>
</file>

<file path=xl/calcChain.xml><?xml version="1.0" encoding="utf-8"?>
<calcChain xmlns="http://schemas.openxmlformats.org/spreadsheetml/2006/main">
  <c r="Q82" i="14"/>
  <c r="P82"/>
  <c r="O82"/>
  <c r="N81"/>
  <c r="R81" s="1"/>
  <c r="V80"/>
  <c r="N80"/>
  <c r="R80" s="1"/>
  <c r="T80" s="1"/>
  <c r="N79"/>
  <c r="R79" s="1"/>
  <c r="T79" s="1"/>
  <c r="W78"/>
  <c r="W77" s="1"/>
  <c r="S78"/>
  <c r="S77" s="1"/>
  <c r="N78"/>
  <c r="R78" s="1"/>
  <c r="X78" s="1"/>
  <c r="M78"/>
  <c r="M77" s="1"/>
  <c r="K78"/>
  <c r="K77" s="1"/>
  <c r="N77" s="1"/>
  <c r="R77" s="1"/>
  <c r="U77"/>
  <c r="N76"/>
  <c r="R76" s="1"/>
  <c r="S75"/>
  <c r="L75"/>
  <c r="N75" s="1"/>
  <c r="R75" s="1"/>
  <c r="W74"/>
  <c r="W73" s="1"/>
  <c r="U74"/>
  <c r="U73" s="1"/>
  <c r="S74"/>
  <c r="S73" s="1"/>
  <c r="N74"/>
  <c r="R74" s="1"/>
  <c r="M74"/>
  <c r="L74"/>
  <c r="L73" s="1"/>
  <c r="K74"/>
  <c r="M73"/>
  <c r="K73"/>
  <c r="N72"/>
  <c r="R72" s="1"/>
  <c r="N71"/>
  <c r="R71" s="1"/>
  <c r="T71" s="1"/>
  <c r="N70"/>
  <c r="R70" s="1"/>
  <c r="R69"/>
  <c r="N69"/>
  <c r="R68"/>
  <c r="N68"/>
  <c r="S67"/>
  <c r="S66" s="1"/>
  <c r="L67"/>
  <c r="M66"/>
  <c r="W65"/>
  <c r="W64" s="1"/>
  <c r="U65"/>
  <c r="U64" s="1"/>
  <c r="S65"/>
  <c r="N65"/>
  <c r="R65" s="1"/>
  <c r="V65" s="1"/>
  <c r="K65"/>
  <c r="S64"/>
  <c r="K64"/>
  <c r="N64" s="1"/>
  <c r="R64" s="1"/>
  <c r="N63"/>
  <c r="R63" s="1"/>
  <c r="N62"/>
  <c r="R62" s="1"/>
  <c r="X62" s="1"/>
  <c r="R61"/>
  <c r="X61" s="1"/>
  <c r="N61"/>
  <c r="X60"/>
  <c r="N60"/>
  <c r="R60" s="1"/>
  <c r="X59"/>
  <c r="N59"/>
  <c r="R59" s="1"/>
  <c r="X58"/>
  <c r="N58"/>
  <c r="R58" s="1"/>
  <c r="N57"/>
  <c r="R57" s="1"/>
  <c r="N56"/>
  <c r="R56" s="1"/>
  <c r="X55"/>
  <c r="N55"/>
  <c r="R55" s="1"/>
  <c r="N54"/>
  <c r="R54" s="1"/>
  <c r="R53"/>
  <c r="X53" s="1"/>
  <c r="N53"/>
  <c r="N52"/>
  <c r="R52" s="1"/>
  <c r="W51"/>
  <c r="W50" s="1"/>
  <c r="U51"/>
  <c r="U50" s="1"/>
  <c r="S51"/>
  <c r="S50" s="1"/>
  <c r="L51"/>
  <c r="N51" s="1"/>
  <c r="R51" s="1"/>
  <c r="V51" s="1"/>
  <c r="W49"/>
  <c r="U49"/>
  <c r="S49"/>
  <c r="N49"/>
  <c r="R49" s="1"/>
  <c r="W48"/>
  <c r="S48"/>
  <c r="M48"/>
  <c r="M82" s="1"/>
  <c r="K48"/>
  <c r="N47"/>
  <c r="R47" s="1"/>
  <c r="X47" s="1"/>
  <c r="N46"/>
  <c r="R46" s="1"/>
  <c r="X46" s="1"/>
  <c r="N45"/>
  <c r="R45" s="1"/>
  <c r="N44"/>
  <c r="R44" s="1"/>
  <c r="T44" s="1"/>
  <c r="T43"/>
  <c r="N43"/>
  <c r="R43" s="1"/>
  <c r="X43" s="1"/>
  <c r="V42"/>
  <c r="N42"/>
  <c r="R42" s="1"/>
  <c r="N41"/>
  <c r="R41" s="1"/>
  <c r="S40"/>
  <c r="S82" s="1"/>
  <c r="N40"/>
  <c r="R40" s="1"/>
  <c r="X39"/>
  <c r="U39"/>
  <c r="V39" s="1"/>
  <c r="N39"/>
  <c r="R39" s="1"/>
  <c r="T39" s="1"/>
  <c r="N38"/>
  <c r="R38" s="1"/>
  <c r="T38" s="1"/>
  <c r="T37"/>
  <c r="N37"/>
  <c r="R37" s="1"/>
  <c r="X37" s="1"/>
  <c r="V36"/>
  <c r="N36"/>
  <c r="R36" s="1"/>
  <c r="N35"/>
  <c r="R35" s="1"/>
  <c r="R34"/>
  <c r="T34" s="1"/>
  <c r="N34"/>
  <c r="N33"/>
  <c r="R33" s="1"/>
  <c r="V33" s="1"/>
  <c r="S30"/>
  <c r="P30"/>
  <c r="P83" s="1"/>
  <c r="O30"/>
  <c r="O83" s="1"/>
  <c r="M30"/>
  <c r="K30"/>
  <c r="R29"/>
  <c r="T29" s="1"/>
  <c r="N29"/>
  <c r="T28"/>
  <c r="N28"/>
  <c r="R28" s="1"/>
  <c r="N27"/>
  <c r="R27" s="1"/>
  <c r="W26"/>
  <c r="W25" s="1"/>
  <c r="W30" s="1"/>
  <c r="U26"/>
  <c r="S26"/>
  <c r="N26"/>
  <c r="R26" s="1"/>
  <c r="V26" s="1"/>
  <c r="U25"/>
  <c r="S25"/>
  <c r="Q25"/>
  <c r="Q30" s="1"/>
  <c r="Q83" s="1"/>
  <c r="L25"/>
  <c r="L30" s="1"/>
  <c r="K25"/>
  <c r="N24"/>
  <c r="R24" s="1"/>
  <c r="T24" s="1"/>
  <c r="N23"/>
  <c r="R23" s="1"/>
  <c r="R22"/>
  <c r="T22" s="1"/>
  <c r="N22"/>
  <c r="N21"/>
  <c r="R21" s="1"/>
  <c r="X21" s="1"/>
  <c r="V20"/>
  <c r="N20"/>
  <c r="R20" s="1"/>
  <c r="T20" s="1"/>
  <c r="N19"/>
  <c r="R19" s="1"/>
  <c r="R18"/>
  <c r="T18" s="1"/>
  <c r="N18"/>
  <c r="V17"/>
  <c r="N17"/>
  <c r="R17" s="1"/>
  <c r="X17" s="1"/>
  <c r="X16"/>
  <c r="V16"/>
  <c r="N16"/>
  <c r="R16" s="1"/>
  <c r="T16" s="1"/>
  <c r="N15"/>
  <c r="R15" s="1"/>
  <c r="R14"/>
  <c r="T14" s="1"/>
  <c r="N14"/>
  <c r="M107" i="1"/>
  <c r="M105"/>
  <c r="M104"/>
  <c r="N104" s="1"/>
  <c r="U96"/>
  <c r="U95"/>
  <c r="U94"/>
  <c r="G94"/>
  <c r="D94"/>
  <c r="M93"/>
  <c r="D93"/>
  <c r="M92"/>
  <c r="M95" s="1"/>
  <c r="D92"/>
  <c r="U88"/>
  <c r="W88" s="1"/>
  <c r="W87"/>
  <c r="U87"/>
  <c r="U73"/>
  <c r="Q73"/>
  <c r="N92" s="1"/>
  <c r="W72"/>
  <c r="U72"/>
  <c r="Q72"/>
  <c r="P72"/>
  <c r="O72"/>
  <c r="R71"/>
  <c r="N71"/>
  <c r="V70"/>
  <c r="T70"/>
  <c r="R70"/>
  <c r="X70" s="1"/>
  <c r="N70"/>
  <c r="V69"/>
  <c r="N69"/>
  <c r="R69" s="1"/>
  <c r="N68"/>
  <c r="R68" s="1"/>
  <c r="X68" s="1"/>
  <c r="R67"/>
  <c r="N67"/>
  <c r="K67"/>
  <c r="N66"/>
  <c r="R66" s="1"/>
  <c r="X65"/>
  <c r="N65"/>
  <c r="R65" s="1"/>
  <c r="R64"/>
  <c r="N64"/>
  <c r="S63"/>
  <c r="K63"/>
  <c r="N63" s="1"/>
  <c r="R63" s="1"/>
  <c r="T63" s="1"/>
  <c r="R62"/>
  <c r="N62"/>
  <c r="V61"/>
  <c r="T61"/>
  <c r="R61"/>
  <c r="X61" s="1"/>
  <c r="N61"/>
  <c r="N60"/>
  <c r="R60" s="1"/>
  <c r="V60" s="1"/>
  <c r="X59"/>
  <c r="N59"/>
  <c r="R59" s="1"/>
  <c r="R58"/>
  <c r="N58"/>
  <c r="V57"/>
  <c r="T57"/>
  <c r="R57"/>
  <c r="X57" s="1"/>
  <c r="N57"/>
  <c r="V56"/>
  <c r="N56"/>
  <c r="R56" s="1"/>
  <c r="S55"/>
  <c r="R55"/>
  <c r="M55"/>
  <c r="L55"/>
  <c r="K55"/>
  <c r="N55" s="1"/>
  <c r="R54"/>
  <c r="N54"/>
  <c r="V53"/>
  <c r="T53"/>
  <c r="R53"/>
  <c r="X53" s="1"/>
  <c r="N53"/>
  <c r="N52"/>
  <c r="R52" s="1"/>
  <c r="V52" s="1"/>
  <c r="X51"/>
  <c r="N51"/>
  <c r="R51" s="1"/>
  <c r="R50"/>
  <c r="N50"/>
  <c r="T49"/>
  <c r="N49"/>
  <c r="R49" s="1"/>
  <c r="N48"/>
  <c r="R48" s="1"/>
  <c r="V48" s="1"/>
  <c r="X47"/>
  <c r="N47"/>
  <c r="R47" s="1"/>
  <c r="R46"/>
  <c r="N46"/>
  <c r="V45"/>
  <c r="T45"/>
  <c r="R45"/>
  <c r="X45" s="1"/>
  <c r="N45"/>
  <c r="K44"/>
  <c r="S43"/>
  <c r="S72" s="1"/>
  <c r="M43"/>
  <c r="M72" s="1"/>
  <c r="M73" s="1"/>
  <c r="L43"/>
  <c r="T42"/>
  <c r="N42"/>
  <c r="R42" s="1"/>
  <c r="N41"/>
  <c r="R41" s="1"/>
  <c r="X40"/>
  <c r="N40"/>
  <c r="R40" s="1"/>
  <c r="R39"/>
  <c r="N39"/>
  <c r="T38"/>
  <c r="N38"/>
  <c r="R38" s="1"/>
  <c r="N37"/>
  <c r="R37" s="1"/>
  <c r="X36"/>
  <c r="N36"/>
  <c r="R36" s="1"/>
  <c r="R35"/>
  <c r="N35"/>
  <c r="T34"/>
  <c r="N34"/>
  <c r="R34" s="1"/>
  <c r="N33"/>
  <c r="R33" s="1"/>
  <c r="Q30"/>
  <c r="P30"/>
  <c r="P73" s="1"/>
  <c r="O30"/>
  <c r="M30"/>
  <c r="L30"/>
  <c r="V29"/>
  <c r="T29"/>
  <c r="R29"/>
  <c r="X29" s="1"/>
  <c r="N29"/>
  <c r="V28"/>
  <c r="N28"/>
  <c r="R28" s="1"/>
  <c r="N27"/>
  <c r="R27" s="1"/>
  <c r="X27" s="1"/>
  <c r="S26"/>
  <c r="K26"/>
  <c r="N26" s="1"/>
  <c r="R26" s="1"/>
  <c r="W25"/>
  <c r="U25"/>
  <c r="K25"/>
  <c r="R24"/>
  <c r="N24"/>
  <c r="V23"/>
  <c r="T23"/>
  <c r="R23"/>
  <c r="X23" s="1"/>
  <c r="N23"/>
  <c r="V22"/>
  <c r="N22"/>
  <c r="R22" s="1"/>
  <c r="N21"/>
  <c r="R21" s="1"/>
  <c r="W20"/>
  <c r="W30" s="1"/>
  <c r="W73" s="1"/>
  <c r="U20"/>
  <c r="U30" s="1"/>
  <c r="S20"/>
  <c r="N20"/>
  <c r="R20" s="1"/>
  <c r="R19"/>
  <c r="N19"/>
  <c r="V18"/>
  <c r="T18"/>
  <c r="R18"/>
  <c r="X18" s="1"/>
  <c r="N18"/>
  <c r="N17"/>
  <c r="R17" s="1"/>
  <c r="X16"/>
  <c r="N16"/>
  <c r="R16" s="1"/>
  <c r="R15"/>
  <c r="N15"/>
  <c r="X81" i="14" l="1"/>
  <c r="T81"/>
  <c r="V81"/>
  <c r="X57"/>
  <c r="V57"/>
  <c r="V21"/>
  <c r="T21"/>
  <c r="V24"/>
  <c r="N25"/>
  <c r="N30" s="1"/>
  <c r="T33"/>
  <c r="T40"/>
  <c r="X51"/>
  <c r="V53"/>
  <c r="V61"/>
  <c r="X64"/>
  <c r="T26"/>
  <c r="X79"/>
  <c r="T17"/>
  <c r="X20"/>
  <c r="X26"/>
  <c r="V37"/>
  <c r="V43"/>
  <c r="W82"/>
  <c r="W83" s="1"/>
  <c r="T64"/>
  <c r="V79"/>
  <c r="X80"/>
  <c r="X24"/>
  <c r="T51"/>
  <c r="T26" i="1"/>
  <c r="V26"/>
  <c r="X26"/>
  <c r="N44"/>
  <c r="R44" s="1"/>
  <c r="K43"/>
  <c r="T47"/>
  <c r="V47"/>
  <c r="V49"/>
  <c r="X49"/>
  <c r="T51"/>
  <c r="V51"/>
  <c r="X56"/>
  <c r="T56"/>
  <c r="T59"/>
  <c r="V59"/>
  <c r="X69"/>
  <c r="T69"/>
  <c r="T21"/>
  <c r="V21"/>
  <c r="X41"/>
  <c r="T41"/>
  <c r="T55"/>
  <c r="V55"/>
  <c r="X66"/>
  <c r="T66"/>
  <c r="T19"/>
  <c r="V19"/>
  <c r="X19"/>
  <c r="X28"/>
  <c r="T28"/>
  <c r="T16"/>
  <c r="V16"/>
  <c r="X22"/>
  <c r="T22"/>
  <c r="N25"/>
  <c r="R25" s="1"/>
  <c r="K30"/>
  <c r="V34"/>
  <c r="X34"/>
  <c r="T36"/>
  <c r="V36"/>
  <c r="V38"/>
  <c r="X38"/>
  <c r="T40"/>
  <c r="V40"/>
  <c r="V42"/>
  <c r="X42"/>
  <c r="T46"/>
  <c r="V46"/>
  <c r="X46"/>
  <c r="T50"/>
  <c r="V50"/>
  <c r="X50"/>
  <c r="T58"/>
  <c r="V58"/>
  <c r="X58"/>
  <c r="T65"/>
  <c r="V65"/>
  <c r="T71"/>
  <c r="V71"/>
  <c r="X71"/>
  <c r="O73"/>
  <c r="X55"/>
  <c r="X17"/>
  <c r="T17"/>
  <c r="V20"/>
  <c r="X20"/>
  <c r="T20"/>
  <c r="G93"/>
  <c r="S25"/>
  <c r="G92" s="1"/>
  <c r="X33"/>
  <c r="T33"/>
  <c r="X37"/>
  <c r="T37"/>
  <c r="M98"/>
  <c r="L72"/>
  <c r="T54"/>
  <c r="V54"/>
  <c r="X54"/>
  <c r="T62"/>
  <c r="V62"/>
  <c r="X62"/>
  <c r="T67"/>
  <c r="V67"/>
  <c r="X67"/>
  <c r="T15"/>
  <c r="R30"/>
  <c r="V15"/>
  <c r="X15"/>
  <c r="T24"/>
  <c r="V24"/>
  <c r="X24"/>
  <c r="T27"/>
  <c r="V27"/>
  <c r="T35"/>
  <c r="V35"/>
  <c r="X35"/>
  <c r="T39"/>
  <c r="V39"/>
  <c r="X39"/>
  <c r="X48"/>
  <c r="T48"/>
  <c r="X52"/>
  <c r="T52"/>
  <c r="X60"/>
  <c r="T60"/>
  <c r="V63"/>
  <c r="X63"/>
  <c r="T64"/>
  <c r="V64"/>
  <c r="X64"/>
  <c r="T68"/>
  <c r="V68"/>
  <c r="N30"/>
  <c r="V17"/>
  <c r="S30"/>
  <c r="S73" s="1"/>
  <c r="X21"/>
  <c r="L73"/>
  <c r="V33"/>
  <c r="V37"/>
  <c r="V41"/>
  <c r="V66"/>
  <c r="U86"/>
  <c r="T15" i="14"/>
  <c r="V15"/>
  <c r="X15"/>
  <c r="T70"/>
  <c r="V70"/>
  <c r="X70"/>
  <c r="V74"/>
  <c r="T74"/>
  <c r="T76"/>
  <c r="X76"/>
  <c r="V76"/>
  <c r="M99" i="1"/>
  <c r="X74" i="14"/>
  <c r="T56"/>
  <c r="V56"/>
  <c r="X56"/>
  <c r="T19"/>
  <c r="V19"/>
  <c r="X19"/>
  <c r="X77"/>
  <c r="T77"/>
  <c r="V77"/>
  <c r="T23"/>
  <c r="V23"/>
  <c r="X23"/>
  <c r="T52"/>
  <c r="V52"/>
  <c r="X52"/>
  <c r="V46"/>
  <c r="T46"/>
  <c r="K82"/>
  <c r="K83" s="1"/>
  <c r="N48"/>
  <c r="R48" s="1"/>
  <c r="X49"/>
  <c r="T49"/>
  <c r="T63"/>
  <c r="V63"/>
  <c r="X63"/>
  <c r="V69"/>
  <c r="T69"/>
  <c r="X69"/>
  <c r="X28"/>
  <c r="V28"/>
  <c r="T36"/>
  <c r="X36"/>
  <c r="T42"/>
  <c r="X42"/>
  <c r="T45"/>
  <c r="V45"/>
  <c r="X45"/>
  <c r="T59"/>
  <c r="V59"/>
  <c r="R25"/>
  <c r="R30" s="1"/>
  <c r="V49"/>
  <c r="U30"/>
  <c r="T27"/>
  <c r="V27"/>
  <c r="X27"/>
  <c r="V29"/>
  <c r="X29"/>
  <c r="T35"/>
  <c r="V35"/>
  <c r="X35"/>
  <c r="T41"/>
  <c r="V41"/>
  <c r="X41"/>
  <c r="V54"/>
  <c r="T54"/>
  <c r="X54"/>
  <c r="X65"/>
  <c r="T65"/>
  <c r="V75"/>
  <c r="X75"/>
  <c r="T75"/>
  <c r="M83"/>
  <c r="X33"/>
  <c r="V34"/>
  <c r="X34"/>
  <c r="V38"/>
  <c r="X38"/>
  <c r="V44"/>
  <c r="X44"/>
  <c r="U48"/>
  <c r="T55"/>
  <c r="V55"/>
  <c r="V62"/>
  <c r="T62"/>
  <c r="V71"/>
  <c r="X71"/>
  <c r="S83"/>
  <c r="U82"/>
  <c r="N73"/>
  <c r="R73" s="1"/>
  <c r="V14"/>
  <c r="X14"/>
  <c r="V18"/>
  <c r="X18"/>
  <c r="V22"/>
  <c r="X22"/>
  <c r="V40"/>
  <c r="X40"/>
  <c r="T47"/>
  <c r="V47"/>
  <c r="V58"/>
  <c r="T58"/>
  <c r="T60"/>
  <c r="V60"/>
  <c r="N67"/>
  <c r="R67" s="1"/>
  <c r="L66"/>
  <c r="N66" s="1"/>
  <c r="R66" s="1"/>
  <c r="X68"/>
  <c r="T68"/>
  <c r="V68"/>
  <c r="X72"/>
  <c r="T72"/>
  <c r="V72"/>
  <c r="T78"/>
  <c r="V78"/>
  <c r="V64"/>
  <c r="L50"/>
  <c r="T53"/>
  <c r="T57"/>
  <c r="T61"/>
  <c r="U83" l="1"/>
  <c r="X48"/>
  <c r="T48"/>
  <c r="V48"/>
  <c r="L82"/>
  <c r="L83" s="1"/>
  <c r="N50"/>
  <c r="R50" s="1"/>
  <c r="V25"/>
  <c r="X25"/>
  <c r="T25"/>
  <c r="X44" i="1"/>
  <c r="T44"/>
  <c r="V44"/>
  <c r="N82" i="14"/>
  <c r="N83" s="1"/>
  <c r="X66"/>
  <c r="T66"/>
  <c r="V66"/>
  <c r="V30"/>
  <c r="X30"/>
  <c r="T30"/>
  <c r="N98" i="1"/>
  <c r="N108" s="1"/>
  <c r="M101"/>
  <c r="V30"/>
  <c r="T30"/>
  <c r="X30"/>
  <c r="N43"/>
  <c r="K72"/>
  <c r="K73" s="1"/>
  <c r="V67" i="14"/>
  <c r="X67"/>
  <c r="T67"/>
  <c r="V73"/>
  <c r="T73"/>
  <c r="X73"/>
  <c r="W86" i="1"/>
  <c r="W91" s="1"/>
  <c r="U91"/>
  <c r="V25"/>
  <c r="X25"/>
  <c r="T25"/>
  <c r="R43" l="1"/>
  <c r="N72"/>
  <c r="N73" s="1"/>
  <c r="T50" i="14"/>
  <c r="X50"/>
  <c r="V50"/>
  <c r="R82"/>
  <c r="V82" l="1"/>
  <c r="X82"/>
  <c r="T82"/>
  <c r="R83"/>
  <c r="T43" i="1"/>
  <c r="V43"/>
  <c r="X43"/>
  <c r="R72"/>
  <c r="X72" l="1"/>
  <c r="T72"/>
  <c r="V72"/>
  <c r="R73"/>
  <c r="X83" i="14"/>
  <c r="T83"/>
  <c r="V83"/>
  <c r="V73" i="1" l="1"/>
  <c r="X73"/>
  <c r="T73"/>
</calcChain>
</file>

<file path=xl/sharedStrings.xml><?xml version="1.0" encoding="utf-8"?>
<sst xmlns="http://schemas.openxmlformats.org/spreadsheetml/2006/main" count="1213" uniqueCount="168">
  <si>
    <t>ANEXO II</t>
  </si>
  <si>
    <t>Sigla: TJAM</t>
  </si>
  <si>
    <t>Nome do Órgão: TRIBUNAL DE JUSTIÇA DO AMAZONAS</t>
  </si>
  <si>
    <t>DOMINGOS JORGE CHALUB PEREIRA</t>
  </si>
  <si>
    <t>Responsável pela Informação: SECRETÁRIO DE ORÇAMENTO E FINANÇAS</t>
  </si>
  <si>
    <t>Mês de Referência: 01/2022</t>
  </si>
  <si>
    <t>Data da Publicação: 17/02/2022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</si>
  <si>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</si>
  <si>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</si>
  <si>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</si>
  <si>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</si>
  <si>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</si>
  <si>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</si>
  <si>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</si>
  <si>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</si>
  <si>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</si>
  <si>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</si>
  <si>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</si>
  <si>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</si>
  <si>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</si>
  <si>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</si>
  <si>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</si>
  <si>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</si>
  <si>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</si>
  <si>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</si>
  <si>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</si>
  <si>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</si>
  <si>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</si>
  <si>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</si>
  <si>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</si>
  <si>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</si>
  <si>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</si>
  <si>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</si>
  <si>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</si>
  <si>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</si>
  <si>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</si>
  <si>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</si>
  <si>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</si>
  <si>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</si>
  <si>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</si>
  <si>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</si>
  <si>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</si>
  <si>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</si>
  <si>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</si>
  <si>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</si>
  <si>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</si>
  <si>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</si>
  <si>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</si>
  <si>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</si>
  <si>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</si>
  <si>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</si>
  <si>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</si>
  <si>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</si>
  <si>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</si>
  <si>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</si>
  <si>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</si>
  <si>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</si>
  <si>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</si>
  <si>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</si>
  <si>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</si>
  <si>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</si>
  <si>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</si>
  <si>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</si>
  <si>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</si>
  <si>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</si>
  <si>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</si>
  <si>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</si>
  <si>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</si>
  <si>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</si>
  <si>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</si>
  <si>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</si>
  <si>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</si>
  <si>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</si>
  <si>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</si>
  <si>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</si>
  <si>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</si>
  <si>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</si>
  <si>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</si>
  <si>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</si>
  <si>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</si>
  <si>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</si>
  <si>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</si>
  <si>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</si>
  <si>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</si>
  <si>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</si>
  <si>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</si>
  <si>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</si>
  <si>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</si>
  <si>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</si>
  <si>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</si>
  <si>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</si>
  <si>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</si>
  <si>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</si>
  <si>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</si>
  <si>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</si>
  <si>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</si>
  <si>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</si>
  <si>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</si>
  <si>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</si>
  <si>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</si>
  <si>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</si>
  <si>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</si>
  <si>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</si>
  <si>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</si>
  <si>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</si>
  <si>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</si>
  <si>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</si>
  <si>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</si>
  <si>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</si>
  <si>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</si>
  <si>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</si>
  <si>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</si>
  <si>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</si>
  <si>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</si>
  <si>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</si>
  <si>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</si>
  <si>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</si>
  <si>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</si>
  <si>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</si>
  <si>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</si>
  <si>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</si>
  <si>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</si>
  <si>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</si>
  <si>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</si>
  <si>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</si>
  <si>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</si>
  <si>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</si>
  <si>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</si>
  <si>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</si>
  <si>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</si>
  <si>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</si>
  <si>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</si>
  <si>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</si>
  <si>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</si>
  <si>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</si>
  <si>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</si>
  <si>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</si>
  <si>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</si>
  <si>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</si>
  <si>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</si>
  <si>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</si>
  <si>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</si>
  <si>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</si>
  <si>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</si>
  <si>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</si>
  <si>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</si>
  <si>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</si>
  <si>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</si>
  <si>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</si>
  <si>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</si>
  <si>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</si>
  <si>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</si>
  <si>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</si>
  <si>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</si>
  <si>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</si>
  <si>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</si>
  <si>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</si>
  <si>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</si>
  <si>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</si>
  <si>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</si>
  <si>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</si>
  <si>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</si>
  <si>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</si>
  <si>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</si>
  <si>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 xml:space="preserve">  </t>
  </si>
  <si>
    <t>3290.1476.0011</t>
  </si>
  <si>
    <t>Mês de Referência: 07/2023</t>
  </si>
  <si>
    <t>Data da Publicação: 18/08/2023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</si>
</sst>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49" fontId="3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7" borderId="13" xfId="0" applyNumberFormat="1" applyFont="1" applyFill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49" fontId="3" fillId="6" borderId="11" xfId="0" applyNumberFormat="1" applyFont="1" applyFill="1" applyBorder="1" applyAlignment="1">
      <alignment horizontal="center" vertical="center" wrapText="1"/>
    </xf>
    <xf numFmtId="4" fontId="6" fillId="10" borderId="11" xfId="0" applyNumberFormat="1" applyFont="1" applyFill="1" applyBorder="1" applyAlignment="1">
      <alignment horizontal="center" vertical="center" wrapText="1"/>
    </xf>
    <xf numFmtId="164" fontId="6" fillId="10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/>
    <xf numFmtId="166" fontId="3" fillId="2" borderId="4" xfId="0" applyNumberFormat="1" applyFont="1" applyFill="1" applyBorder="1" applyAlignment="1"/>
    <xf numFmtId="4" fontId="4" fillId="0" borderId="0" xfId="0" applyNumberFormat="1" applyFont="1" applyAlignment="1"/>
    <xf numFmtId="0" fontId="5" fillId="2" borderId="4" xfId="0" applyFont="1" applyFill="1" applyBorder="1" applyAlignment="1"/>
    <xf numFmtId="0" fontId="8" fillId="2" borderId="4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/>
    <xf numFmtId="4" fontId="10" fillId="2" borderId="1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/>
    <xf numFmtId="1" fontId="9" fillId="5" borderId="11" xfId="0" applyNumberFormat="1" applyFont="1" applyFill="1" applyBorder="1" applyAlignment="1"/>
    <xf numFmtId="4" fontId="9" fillId="5" borderId="11" xfId="0" applyNumberFormat="1" applyFont="1" applyFill="1" applyBorder="1" applyAlignment="1"/>
    <xf numFmtId="1" fontId="4" fillId="5" borderId="11" xfId="0" applyNumberFormat="1" applyFont="1" applyFill="1" applyBorder="1" applyAlignment="1"/>
    <xf numFmtId="4" fontId="9" fillId="5" borderId="11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" fontId="9" fillId="4" borderId="11" xfId="0" applyNumberFormat="1" applyFont="1" applyFill="1" applyBorder="1" applyAlignment="1"/>
    <xf numFmtId="4" fontId="9" fillId="4" borderId="11" xfId="0" applyNumberFormat="1" applyFont="1" applyFill="1" applyBorder="1" applyAlignment="1"/>
    <xf numFmtId="4" fontId="6" fillId="0" borderId="0" xfId="0" applyNumberFormat="1" applyFont="1" applyAlignment="1"/>
    <xf numFmtId="1" fontId="4" fillId="4" borderId="11" xfId="0" applyNumberFormat="1" applyFont="1" applyFill="1" applyBorder="1" applyAlignment="1"/>
    <xf numFmtId="4" fontId="4" fillId="2" borderId="4" xfId="0" applyNumberFormat="1" applyFont="1" applyFill="1" applyBorder="1" applyAlignment="1"/>
    <xf numFmtId="4" fontId="9" fillId="4" borderId="11" xfId="0" applyNumberFormat="1" applyFont="1" applyFill="1" applyBorder="1" applyAlignment="1">
      <alignment horizontal="center"/>
    </xf>
    <xf numFmtId="1" fontId="9" fillId="7" borderId="11" xfId="0" applyNumberFormat="1" applyFont="1" applyFill="1" applyBorder="1" applyAlignment="1"/>
    <xf numFmtId="4" fontId="9" fillId="7" borderId="11" xfId="0" applyNumberFormat="1" applyFont="1" applyFill="1" applyBorder="1" applyAlignment="1"/>
    <xf numFmtId="1" fontId="4" fillId="7" borderId="11" xfId="0" applyNumberFormat="1" applyFont="1" applyFill="1" applyBorder="1" applyAlignment="1"/>
    <xf numFmtId="0" fontId="4" fillId="2" borderId="4" xfId="0" applyFont="1" applyFill="1" applyBorder="1" applyAlignment="1"/>
    <xf numFmtId="4" fontId="9" fillId="7" borderId="11" xfId="0" applyNumberFormat="1" applyFont="1" applyFill="1" applyBorder="1" applyAlignment="1">
      <alignment horizontal="center"/>
    </xf>
    <xf numFmtId="0" fontId="4" fillId="0" borderId="24" xfId="0" applyFont="1" applyBorder="1" applyAlignment="1"/>
    <xf numFmtId="164" fontId="6" fillId="0" borderId="11" xfId="0" applyNumberFormat="1" applyFont="1" applyBorder="1" applyAlignment="1">
      <alignment horizontal="center"/>
    </xf>
    <xf numFmtId="4" fontId="9" fillId="2" borderId="11" xfId="0" applyNumberFormat="1" applyFont="1" applyFill="1" applyBorder="1" applyAlignment="1"/>
    <xf numFmtId="0" fontId="4" fillId="6" borderId="24" xfId="0" applyFont="1" applyFill="1" applyBorder="1" applyAlignment="1"/>
    <xf numFmtId="166" fontId="4" fillId="6" borderId="24" xfId="0" applyNumberFormat="1" applyFont="1" applyFill="1" applyBorder="1" applyAlignment="1"/>
    <xf numFmtId="4" fontId="4" fillId="0" borderId="24" xfId="0" applyNumberFormat="1" applyFont="1" applyBorder="1" applyAlignment="1"/>
    <xf numFmtId="4" fontId="9" fillId="0" borderId="0" xfId="0" applyNumberFormat="1" applyFont="1" applyAlignment="1"/>
    <xf numFmtId="166" fontId="4" fillId="0" borderId="24" xfId="0" applyNumberFormat="1" applyFont="1" applyBorder="1" applyAlignment="1"/>
    <xf numFmtId="167" fontId="4" fillId="0" borderId="0" xfId="0" applyNumberFormat="1" applyFont="1" applyAlignment="1"/>
    <xf numFmtId="0" fontId="4" fillId="4" borderId="11" xfId="0" applyFont="1" applyFill="1" applyBorder="1" applyAlignment="1"/>
    <xf numFmtId="4" fontId="4" fillId="4" borderId="11" xfId="0" applyNumberFormat="1" applyFont="1" applyFill="1" applyBorder="1" applyAlignment="1"/>
    <xf numFmtId="0" fontId="3" fillId="2" borderId="25" xfId="0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166" fontId="3" fillId="5" borderId="11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0" fontId="3" fillId="9" borderId="13" xfId="0" applyFont="1" applyFill="1" applyBorder="1" applyAlignment="1">
      <alignment horizontal="center" vertical="center" wrapText="1"/>
    </xf>
    <xf numFmtId="166" fontId="3" fillId="9" borderId="13" xfId="0" applyNumberFormat="1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2" xfId="0" applyFont="1" applyBorder="1"/>
    <xf numFmtId="0" fontId="4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schemas.openxmlformats.org/officeDocument/2006/relationships/theme" Target="theme/theme1.xml"/><Relationship Id="rId23" Type="http://customschemas.google.com/relationships/workbookmetadata" Target="metadata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workbookViewId="0">
      <selection sqref="A1:C1"/>
    </sheetView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26" t="s">
        <v>0</v>
      </c>
      <c r="B1" s="127"/>
      <c r="C1" s="128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29" t="s">
        <v>1</v>
      </c>
      <c r="B2" s="130"/>
      <c r="C2" s="131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29" t="s">
        <v>2</v>
      </c>
      <c r="B3" s="130"/>
      <c r="C3" s="130"/>
      <c r="D3" s="130"/>
      <c r="E3" s="130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26" t="s">
        <v>3</v>
      </c>
      <c r="B4" s="127"/>
      <c r="C4" s="127"/>
      <c r="D4" s="127"/>
      <c r="E4" s="127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26" t="s">
        <v>5</v>
      </c>
      <c r="B6" s="127"/>
      <c r="C6" s="127"/>
      <c r="D6" s="127"/>
      <c r="E6" s="127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26" t="s">
        <v>6</v>
      </c>
      <c r="B7" s="127"/>
      <c r="C7" s="127"/>
      <c r="D7" s="127"/>
      <c r="E7" s="127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32" t="s">
        <v>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2"/>
      <c r="X11" s="1"/>
      <c r="Y11" s="5"/>
      <c r="Z11" s="5"/>
      <c r="AA11" s="5"/>
    </row>
    <row r="12" spans="1:27" ht="14.25" customHeight="1">
      <c r="A12" s="136" t="s">
        <v>8</v>
      </c>
      <c r="B12" s="127"/>
      <c r="C12" s="127"/>
      <c r="D12" s="127"/>
      <c r="E12" s="127"/>
      <c r="F12" s="127"/>
      <c r="G12" s="127"/>
      <c r="H12" s="127"/>
      <c r="I12" s="127"/>
      <c r="J12" s="128"/>
      <c r="K12" s="134" t="s">
        <v>9</v>
      </c>
      <c r="L12" s="136" t="s">
        <v>10</v>
      </c>
      <c r="M12" s="128"/>
      <c r="N12" s="134" t="s">
        <v>11</v>
      </c>
      <c r="O12" s="134" t="s">
        <v>12</v>
      </c>
      <c r="P12" s="136" t="s">
        <v>13</v>
      </c>
      <c r="Q12" s="128"/>
      <c r="R12" s="134" t="s">
        <v>14</v>
      </c>
      <c r="S12" s="136" t="s">
        <v>15</v>
      </c>
      <c r="T12" s="127"/>
      <c r="U12" s="127"/>
      <c r="V12" s="127"/>
      <c r="W12" s="127"/>
      <c r="X12" s="128"/>
      <c r="Y12" s="5"/>
      <c r="Z12" s="5"/>
      <c r="AA12" s="5"/>
    </row>
    <row r="13" spans="1:27" ht="14.25" customHeight="1">
      <c r="A13" s="136" t="s">
        <v>16</v>
      </c>
      <c r="B13" s="128"/>
      <c r="C13" s="134" t="s">
        <v>17</v>
      </c>
      <c r="D13" s="134" t="s">
        <v>18</v>
      </c>
      <c r="E13" s="136" t="s">
        <v>19</v>
      </c>
      <c r="F13" s="128"/>
      <c r="G13" s="134" t="s">
        <v>20</v>
      </c>
      <c r="H13" s="136" t="s">
        <v>21</v>
      </c>
      <c r="I13" s="128"/>
      <c r="J13" s="140" t="s">
        <v>22</v>
      </c>
      <c r="K13" s="135"/>
      <c r="L13" s="13" t="s">
        <v>23</v>
      </c>
      <c r="M13" s="13" t="s">
        <v>24</v>
      </c>
      <c r="N13" s="135"/>
      <c r="O13" s="135"/>
      <c r="P13" s="14" t="s">
        <v>25</v>
      </c>
      <c r="Q13" s="14" t="s">
        <v>26</v>
      </c>
      <c r="R13" s="135"/>
      <c r="S13" s="15" t="s">
        <v>27</v>
      </c>
      <c r="T13" s="16" t="s">
        <v>28</v>
      </c>
      <c r="U13" s="15" t="s">
        <v>29</v>
      </c>
      <c r="V13" s="17" t="s">
        <v>28</v>
      </c>
      <c r="W13" s="18" t="s">
        <v>30</v>
      </c>
      <c r="X13" s="17" t="s">
        <v>28</v>
      </c>
      <c r="Y13" s="5"/>
      <c r="Z13" s="5"/>
      <c r="AA13" s="5"/>
    </row>
    <row r="14" spans="1:27" ht="31.5" customHeight="1">
      <c r="A14" s="15" t="s">
        <v>31</v>
      </c>
      <c r="B14" s="15" t="s">
        <v>19</v>
      </c>
      <c r="C14" s="135"/>
      <c r="D14" s="135"/>
      <c r="E14" s="14" t="s">
        <v>32</v>
      </c>
      <c r="F14" s="14" t="s">
        <v>33</v>
      </c>
      <c r="G14" s="135"/>
      <c r="H14" s="14" t="s">
        <v>31</v>
      </c>
      <c r="I14" s="14" t="s">
        <v>19</v>
      </c>
      <c r="J14" s="135"/>
      <c r="K14" s="15" t="s">
        <v>34</v>
      </c>
      <c r="L14" s="14" t="s">
        <v>35</v>
      </c>
      <c r="M14" s="14" t="s">
        <v>36</v>
      </c>
      <c r="N14" s="14" t="s">
        <v>37</v>
      </c>
      <c r="O14" s="14" t="s">
        <v>38</v>
      </c>
      <c r="P14" s="14" t="s">
        <v>39</v>
      </c>
      <c r="Q14" s="14" t="s">
        <v>40</v>
      </c>
      <c r="R14" s="15" t="s">
        <v>41</v>
      </c>
      <c r="S14" s="19" t="s">
        <v>42</v>
      </c>
      <c r="T14" s="20" t="s">
        <v>43</v>
      </c>
      <c r="U14" s="19" t="s">
        <v>44</v>
      </c>
      <c r="V14" s="20" t="s">
        <v>45</v>
      </c>
      <c r="W14" s="18" t="s">
        <v>46</v>
      </c>
      <c r="X14" s="20" t="s">
        <v>47</v>
      </c>
      <c r="Y14" s="5"/>
      <c r="Z14" s="5"/>
      <c r="AA14" s="5"/>
    </row>
    <row r="15" spans="1:27" ht="63" customHeight="1">
      <c r="A15" s="21" t="s">
        <v>48</v>
      </c>
      <c r="B15" s="22" t="s">
        <v>49</v>
      </c>
      <c r="C15" s="22" t="s">
        <v>50</v>
      </c>
      <c r="D15" s="22" t="s">
        <v>51</v>
      </c>
      <c r="E15" s="22" t="s">
        <v>52</v>
      </c>
      <c r="F15" s="22" t="s">
        <v>53</v>
      </c>
      <c r="G15" s="22" t="s">
        <v>54</v>
      </c>
      <c r="H15" s="22" t="s">
        <v>55</v>
      </c>
      <c r="I15" s="22" t="s">
        <v>56</v>
      </c>
      <c r="J15" s="23">
        <v>3</v>
      </c>
      <c r="K15" s="24">
        <v>500000</v>
      </c>
      <c r="L15" s="24">
        <v>0</v>
      </c>
      <c r="M15" s="24">
        <v>0</v>
      </c>
      <c r="N15" s="25">
        <f t="shared" ref="N15:N29" si="0">K15+L15-M15</f>
        <v>500000</v>
      </c>
      <c r="O15" s="26"/>
      <c r="P15" s="26"/>
      <c r="Q15" s="26"/>
      <c r="R15" s="25">
        <f t="shared" ref="R15:R29" si="1">N15-O15+P15+Q15</f>
        <v>500000</v>
      </c>
      <c r="S15" s="24">
        <v>0</v>
      </c>
      <c r="T15" s="27">
        <f t="shared" ref="T15:T30" si="2">IF(R15&gt;0,S15/R15,0)</f>
        <v>0</v>
      </c>
      <c r="U15" s="28">
        <v>0</v>
      </c>
      <c r="V15" s="27">
        <f t="shared" ref="V15:V30" si="3">IF(R15&gt;0,U15/R15,0)</f>
        <v>0</v>
      </c>
      <c r="W15" s="24">
        <v>0</v>
      </c>
      <c r="X15" s="27">
        <f t="shared" ref="X15:X30" si="4">IF(R15&gt;0,W15/R15,0)</f>
        <v>0</v>
      </c>
      <c r="Y15" s="5"/>
      <c r="Z15" s="5"/>
      <c r="AA15" s="5"/>
    </row>
    <row r="16" spans="1:27" ht="63" customHeight="1">
      <c r="A16" s="21" t="s">
        <v>48</v>
      </c>
      <c r="B16" s="22" t="s">
        <v>49</v>
      </c>
      <c r="C16" s="22" t="s">
        <v>50</v>
      </c>
      <c r="D16" s="22" t="s">
        <v>57</v>
      </c>
      <c r="E16" s="22" t="s">
        <v>52</v>
      </c>
      <c r="F16" s="22" t="s">
        <v>58</v>
      </c>
      <c r="G16" s="22" t="s">
        <v>54</v>
      </c>
      <c r="H16" s="22" t="s">
        <v>55</v>
      </c>
      <c r="I16" s="22" t="s">
        <v>56</v>
      </c>
      <c r="J16" s="23">
        <v>3</v>
      </c>
      <c r="K16" s="24">
        <v>68272700</v>
      </c>
      <c r="L16" s="24">
        <v>0</v>
      </c>
      <c r="M16" s="24">
        <v>0</v>
      </c>
      <c r="N16" s="25">
        <f t="shared" si="0"/>
        <v>68272700</v>
      </c>
      <c r="O16" s="26"/>
      <c r="P16" s="26"/>
      <c r="Q16" s="26"/>
      <c r="R16" s="25">
        <f t="shared" si="1"/>
        <v>68272700</v>
      </c>
      <c r="S16" s="24">
        <v>5449512.0899999999</v>
      </c>
      <c r="T16" s="27">
        <f t="shared" si="2"/>
        <v>7.9819782870752143E-2</v>
      </c>
      <c r="U16" s="28">
        <v>5449512.0899999999</v>
      </c>
      <c r="V16" s="27">
        <f t="shared" si="3"/>
        <v>7.9819782870752143E-2</v>
      </c>
      <c r="W16" s="24">
        <v>5449512.0899999999</v>
      </c>
      <c r="X16" s="27">
        <f t="shared" si="4"/>
        <v>7.9819782870752143E-2</v>
      </c>
      <c r="Y16" s="29"/>
      <c r="Z16" s="5"/>
      <c r="AA16" s="5"/>
    </row>
    <row r="17" spans="1:27" ht="63" customHeight="1">
      <c r="A17" s="21" t="s">
        <v>48</v>
      </c>
      <c r="B17" s="22" t="s">
        <v>49</v>
      </c>
      <c r="C17" s="22" t="s">
        <v>50</v>
      </c>
      <c r="D17" s="22" t="s">
        <v>59</v>
      </c>
      <c r="E17" s="22" t="s">
        <v>52</v>
      </c>
      <c r="F17" s="22" t="s">
        <v>60</v>
      </c>
      <c r="G17" s="22" t="s">
        <v>54</v>
      </c>
      <c r="H17" s="22" t="s">
        <v>55</v>
      </c>
      <c r="I17" s="22" t="s">
        <v>56</v>
      </c>
      <c r="J17" s="30">
        <v>1</v>
      </c>
      <c r="K17" s="24">
        <v>414524310</v>
      </c>
      <c r="L17" s="24">
        <v>3584210.48</v>
      </c>
      <c r="M17" s="24">
        <v>3584210.48</v>
      </c>
      <c r="N17" s="25">
        <f t="shared" si="0"/>
        <v>414524310</v>
      </c>
      <c r="O17" s="26"/>
      <c r="P17" s="26"/>
      <c r="Q17" s="26"/>
      <c r="R17" s="25">
        <f t="shared" si="1"/>
        <v>414524310</v>
      </c>
      <c r="S17" s="24">
        <v>30454561.02</v>
      </c>
      <c r="T17" s="27">
        <f t="shared" si="2"/>
        <v>7.3468697215852072E-2</v>
      </c>
      <c r="U17" s="31">
        <v>30454561.02</v>
      </c>
      <c r="V17" s="27">
        <f t="shared" si="3"/>
        <v>7.3468697215852072E-2</v>
      </c>
      <c r="W17" s="24">
        <v>30435716.989999998</v>
      </c>
      <c r="X17" s="27">
        <f t="shared" si="4"/>
        <v>7.342323780721087E-2</v>
      </c>
      <c r="Y17" s="5"/>
      <c r="Z17" s="5"/>
      <c r="AA17" s="5"/>
    </row>
    <row r="18" spans="1:27" ht="63" customHeight="1">
      <c r="A18" s="21" t="s">
        <v>48</v>
      </c>
      <c r="B18" s="22" t="s">
        <v>49</v>
      </c>
      <c r="C18" s="32" t="s">
        <v>50</v>
      </c>
      <c r="D18" s="32" t="s">
        <v>61</v>
      </c>
      <c r="E18" s="22" t="s">
        <v>52</v>
      </c>
      <c r="F18" s="32" t="s">
        <v>62</v>
      </c>
      <c r="G18" s="32" t="s">
        <v>54</v>
      </c>
      <c r="H18" s="22" t="s">
        <v>55</v>
      </c>
      <c r="I18" s="32" t="s">
        <v>63</v>
      </c>
      <c r="J18" s="30">
        <v>1</v>
      </c>
      <c r="K18" s="33">
        <v>500000</v>
      </c>
      <c r="L18" s="34">
        <v>0</v>
      </c>
      <c r="M18" s="34">
        <v>0</v>
      </c>
      <c r="N18" s="35">
        <f t="shared" si="0"/>
        <v>500000</v>
      </c>
      <c r="O18" s="35"/>
      <c r="P18" s="35"/>
      <c r="Q18" s="35"/>
      <c r="R18" s="35">
        <f t="shared" si="1"/>
        <v>500000</v>
      </c>
      <c r="S18" s="36">
        <v>0</v>
      </c>
      <c r="T18" s="37">
        <f t="shared" si="2"/>
        <v>0</v>
      </c>
      <c r="U18" s="31">
        <v>0</v>
      </c>
      <c r="V18" s="37">
        <f t="shared" si="3"/>
        <v>0</v>
      </c>
      <c r="W18" s="34">
        <v>0</v>
      </c>
      <c r="X18" s="37">
        <f t="shared" si="4"/>
        <v>0</v>
      </c>
      <c r="Y18" s="5"/>
      <c r="Z18" s="5"/>
      <c r="AA18" s="5"/>
    </row>
    <row r="19" spans="1:27" ht="63" customHeight="1">
      <c r="A19" s="21" t="s">
        <v>48</v>
      </c>
      <c r="B19" s="22" t="s">
        <v>49</v>
      </c>
      <c r="C19" s="22" t="s">
        <v>50</v>
      </c>
      <c r="D19" s="22" t="s">
        <v>64</v>
      </c>
      <c r="E19" s="22" t="s">
        <v>65</v>
      </c>
      <c r="F19" s="22" t="s">
        <v>66</v>
      </c>
      <c r="G19" s="22" t="s">
        <v>54</v>
      </c>
      <c r="H19" s="22" t="s">
        <v>55</v>
      </c>
      <c r="I19" s="22" t="s">
        <v>56</v>
      </c>
      <c r="J19" s="23">
        <v>3</v>
      </c>
      <c r="K19" s="24">
        <v>18400000</v>
      </c>
      <c r="L19" s="24">
        <v>0</v>
      </c>
      <c r="M19" s="24">
        <v>0</v>
      </c>
      <c r="N19" s="25">
        <f t="shared" si="0"/>
        <v>18400000</v>
      </c>
      <c r="O19" s="26"/>
      <c r="P19" s="26"/>
      <c r="Q19" s="26"/>
      <c r="R19" s="25">
        <f t="shared" si="1"/>
        <v>18400000</v>
      </c>
      <c r="S19" s="24">
        <v>1542379.01</v>
      </c>
      <c r="T19" s="27">
        <f t="shared" si="2"/>
        <v>8.3824946195652172E-2</v>
      </c>
      <c r="U19" s="28">
        <v>1542379.01</v>
      </c>
      <c r="V19" s="27">
        <f t="shared" si="3"/>
        <v>8.3824946195652172E-2</v>
      </c>
      <c r="W19" s="24">
        <v>1542379.01</v>
      </c>
      <c r="X19" s="27">
        <f t="shared" si="4"/>
        <v>8.3824946195652172E-2</v>
      </c>
      <c r="Y19" s="5"/>
      <c r="Z19" s="5"/>
      <c r="AA19" s="5"/>
    </row>
    <row r="20" spans="1:27" ht="63" customHeight="1">
      <c r="A20" s="21" t="s">
        <v>48</v>
      </c>
      <c r="B20" s="22" t="s">
        <v>49</v>
      </c>
      <c r="C20" s="22" t="s">
        <v>50</v>
      </c>
      <c r="D20" s="22" t="s">
        <v>67</v>
      </c>
      <c r="E20" s="22" t="s">
        <v>65</v>
      </c>
      <c r="F20" s="22" t="s">
        <v>68</v>
      </c>
      <c r="G20" s="22" t="s">
        <v>54</v>
      </c>
      <c r="H20" s="22" t="s">
        <v>55</v>
      </c>
      <c r="I20" s="22" t="s">
        <v>56</v>
      </c>
      <c r="J20" s="30">
        <v>1</v>
      </c>
      <c r="K20" s="24">
        <v>105706108</v>
      </c>
      <c r="L20" s="24">
        <v>1757068.65</v>
      </c>
      <c r="M20" s="24">
        <v>1757068.65</v>
      </c>
      <c r="N20" s="25">
        <f t="shared" si="0"/>
        <v>105706108</v>
      </c>
      <c r="O20" s="26"/>
      <c r="P20" s="26"/>
      <c r="Q20" s="26"/>
      <c r="R20" s="25">
        <f t="shared" si="1"/>
        <v>105706108</v>
      </c>
      <c r="S20" s="24">
        <f>7283870.65</f>
        <v>7283870.6500000004</v>
      </c>
      <c r="T20" s="27">
        <f t="shared" si="2"/>
        <v>6.8906809528925236E-2</v>
      </c>
      <c r="U20" s="31">
        <f>7283870.65</f>
        <v>7283870.6500000004</v>
      </c>
      <c r="V20" s="27">
        <f t="shared" si="3"/>
        <v>6.8906809528925236E-2</v>
      </c>
      <c r="W20" s="24">
        <f>7263870.65</f>
        <v>7263870.6500000004</v>
      </c>
      <c r="X20" s="27">
        <f t="shared" si="4"/>
        <v>6.8717605703541754E-2</v>
      </c>
      <c r="Y20" s="5"/>
      <c r="Z20" s="5"/>
      <c r="AA20" s="5"/>
    </row>
    <row r="21" spans="1:27" ht="63" customHeight="1">
      <c r="A21" s="21" t="s">
        <v>48</v>
      </c>
      <c r="B21" s="22" t="s">
        <v>49</v>
      </c>
      <c r="C21" s="22" t="s">
        <v>50</v>
      </c>
      <c r="D21" s="22" t="s">
        <v>69</v>
      </c>
      <c r="E21" s="22" t="s">
        <v>65</v>
      </c>
      <c r="F21" s="22" t="s">
        <v>70</v>
      </c>
      <c r="G21" s="22" t="s">
        <v>54</v>
      </c>
      <c r="H21" s="22" t="s">
        <v>55</v>
      </c>
      <c r="I21" s="22" t="s">
        <v>56</v>
      </c>
      <c r="J21" s="30">
        <v>1</v>
      </c>
      <c r="K21" s="24">
        <v>116644198</v>
      </c>
      <c r="L21" s="24">
        <v>4977.8999999999996</v>
      </c>
      <c r="M21" s="24">
        <v>4977.8999999999996</v>
      </c>
      <c r="N21" s="25">
        <f t="shared" si="0"/>
        <v>116644198</v>
      </c>
      <c r="O21" s="26"/>
      <c r="P21" s="26"/>
      <c r="Q21" s="26"/>
      <c r="R21" s="25">
        <f t="shared" si="1"/>
        <v>116644198</v>
      </c>
      <c r="S21" s="24">
        <v>8749422.8200000003</v>
      </c>
      <c r="T21" s="27">
        <f t="shared" si="2"/>
        <v>7.5009498715058257E-2</v>
      </c>
      <c r="U21" s="31">
        <v>8749422.8200000003</v>
      </c>
      <c r="V21" s="27">
        <f t="shared" si="3"/>
        <v>7.5009498715058257E-2</v>
      </c>
      <c r="W21" s="24">
        <v>8749422.8200000003</v>
      </c>
      <c r="X21" s="27">
        <f t="shared" si="4"/>
        <v>7.5009498715058257E-2</v>
      </c>
      <c r="Y21" s="5"/>
      <c r="Z21" s="5"/>
      <c r="AA21" s="5"/>
    </row>
    <row r="22" spans="1:27" ht="63" customHeight="1">
      <c r="A22" s="21" t="s">
        <v>48</v>
      </c>
      <c r="B22" s="22" t="s">
        <v>49</v>
      </c>
      <c r="C22" s="22" t="s">
        <v>50</v>
      </c>
      <c r="D22" s="22" t="s">
        <v>71</v>
      </c>
      <c r="E22" s="22" t="s">
        <v>65</v>
      </c>
      <c r="F22" s="22" t="s">
        <v>72</v>
      </c>
      <c r="G22" s="22" t="s">
        <v>54</v>
      </c>
      <c r="H22" s="22" t="s">
        <v>55</v>
      </c>
      <c r="I22" s="22" t="s">
        <v>56</v>
      </c>
      <c r="J22" s="23">
        <v>3</v>
      </c>
      <c r="K22" s="24">
        <v>19300000</v>
      </c>
      <c r="L22" s="24">
        <v>0</v>
      </c>
      <c r="M22" s="24">
        <v>0</v>
      </c>
      <c r="N22" s="25">
        <f t="shared" si="0"/>
        <v>19300000</v>
      </c>
      <c r="O22" s="26"/>
      <c r="P22" s="26"/>
      <c r="Q22" s="26"/>
      <c r="R22" s="25">
        <f t="shared" si="1"/>
        <v>19300000</v>
      </c>
      <c r="S22" s="24">
        <v>1680500.43</v>
      </c>
      <c r="T22" s="27">
        <f t="shared" si="2"/>
        <v>8.7072561139896365E-2</v>
      </c>
      <c r="U22" s="28">
        <v>1680500.43</v>
      </c>
      <c r="V22" s="27">
        <f t="shared" si="3"/>
        <v>8.7072561139896365E-2</v>
      </c>
      <c r="W22" s="24">
        <v>1680500.43</v>
      </c>
      <c r="X22" s="27">
        <f t="shared" si="4"/>
        <v>8.7072561139896365E-2</v>
      </c>
      <c r="Y22" s="5"/>
      <c r="Z22" s="5"/>
      <c r="AA22" s="5"/>
    </row>
    <row r="23" spans="1:27" ht="63" customHeight="1">
      <c r="A23" s="21" t="s">
        <v>48</v>
      </c>
      <c r="B23" s="22" t="s">
        <v>49</v>
      </c>
      <c r="C23" s="22" t="s">
        <v>73</v>
      </c>
      <c r="D23" s="22" t="s">
        <v>74</v>
      </c>
      <c r="E23" s="22" t="s">
        <v>65</v>
      </c>
      <c r="F23" s="22" t="s">
        <v>75</v>
      </c>
      <c r="G23" s="22" t="s">
        <v>54</v>
      </c>
      <c r="H23" s="22" t="s">
        <v>55</v>
      </c>
      <c r="I23" s="22" t="s">
        <v>63</v>
      </c>
      <c r="J23" s="23">
        <v>3</v>
      </c>
      <c r="K23" s="24">
        <v>1500000</v>
      </c>
      <c r="L23" s="24">
        <v>0</v>
      </c>
      <c r="M23" s="24">
        <v>0</v>
      </c>
      <c r="N23" s="25">
        <f t="shared" si="0"/>
        <v>1500000</v>
      </c>
      <c r="O23" s="26"/>
      <c r="P23" s="26"/>
      <c r="Q23" s="26"/>
      <c r="R23" s="25">
        <f t="shared" si="1"/>
        <v>1500000</v>
      </c>
      <c r="S23" s="24">
        <v>158635.06</v>
      </c>
      <c r="T23" s="27">
        <f t="shared" si="2"/>
        <v>0.10575670666666666</v>
      </c>
      <c r="U23" s="28">
        <v>158635.06</v>
      </c>
      <c r="V23" s="27">
        <f t="shared" si="3"/>
        <v>0.10575670666666666</v>
      </c>
      <c r="W23" s="24">
        <v>158635.06</v>
      </c>
      <c r="X23" s="27">
        <f t="shared" si="4"/>
        <v>0.10575670666666666</v>
      </c>
      <c r="Y23" s="5"/>
      <c r="Z23" s="5"/>
      <c r="AA23" s="5"/>
    </row>
    <row r="24" spans="1:27" ht="63" customHeight="1">
      <c r="A24" s="21" t="s">
        <v>48</v>
      </c>
      <c r="B24" s="22" t="s">
        <v>49</v>
      </c>
      <c r="C24" s="22" t="s">
        <v>76</v>
      </c>
      <c r="D24" s="22" t="s">
        <v>77</v>
      </c>
      <c r="E24" s="32" t="s">
        <v>65</v>
      </c>
      <c r="F24" s="22" t="s">
        <v>78</v>
      </c>
      <c r="G24" s="22" t="s">
        <v>54</v>
      </c>
      <c r="H24" s="22" t="s">
        <v>55</v>
      </c>
      <c r="I24" s="22" t="s">
        <v>56</v>
      </c>
      <c r="J24" s="30">
        <v>1</v>
      </c>
      <c r="K24" s="33">
        <v>400000</v>
      </c>
      <c r="L24" s="24">
        <v>0</v>
      </c>
      <c r="M24" s="24">
        <v>0</v>
      </c>
      <c r="N24" s="25">
        <f t="shared" si="0"/>
        <v>400000</v>
      </c>
      <c r="O24" s="25"/>
      <c r="P24" s="25"/>
      <c r="Q24" s="25"/>
      <c r="R24" s="25">
        <f t="shared" si="1"/>
        <v>400000</v>
      </c>
      <c r="S24" s="34">
        <v>5880</v>
      </c>
      <c r="T24" s="27">
        <f t="shared" si="2"/>
        <v>1.47E-2</v>
      </c>
      <c r="U24" s="31">
        <v>5880</v>
      </c>
      <c r="V24" s="27">
        <f t="shared" si="3"/>
        <v>1.47E-2</v>
      </c>
      <c r="W24" s="24">
        <v>5880</v>
      </c>
      <c r="X24" s="27">
        <f t="shared" si="4"/>
        <v>1.47E-2</v>
      </c>
      <c r="Y24" s="5"/>
      <c r="Z24" s="5"/>
      <c r="AA24" s="5"/>
    </row>
    <row r="25" spans="1:27" ht="63" customHeight="1">
      <c r="A25" s="21" t="s">
        <v>48</v>
      </c>
      <c r="B25" s="22" t="s">
        <v>49</v>
      </c>
      <c r="C25" s="22" t="s">
        <v>79</v>
      </c>
      <c r="D25" s="22" t="s">
        <v>80</v>
      </c>
      <c r="E25" s="22" t="s">
        <v>65</v>
      </c>
      <c r="F25" s="22" t="s">
        <v>81</v>
      </c>
      <c r="G25" s="22" t="s">
        <v>54</v>
      </c>
      <c r="H25" s="22" t="s">
        <v>55</v>
      </c>
      <c r="I25" s="22" t="s">
        <v>63</v>
      </c>
      <c r="J25" s="30">
        <v>1</v>
      </c>
      <c r="K25" s="24">
        <f>122077300-K26</f>
        <v>116550000</v>
      </c>
      <c r="L25" s="24">
        <v>15000000</v>
      </c>
      <c r="M25" s="24">
        <v>15000000</v>
      </c>
      <c r="N25" s="25">
        <f t="shared" si="0"/>
        <v>116550000</v>
      </c>
      <c r="O25" s="25"/>
      <c r="P25" s="25"/>
      <c r="Q25" s="25"/>
      <c r="R25" s="25">
        <f t="shared" si="1"/>
        <v>116550000</v>
      </c>
      <c r="S25" s="24">
        <f>5153219.47-S26</f>
        <v>4698452.88</v>
      </c>
      <c r="T25" s="27">
        <f t="shared" si="2"/>
        <v>4.0312766023166025E-2</v>
      </c>
      <c r="U25" s="31">
        <f>5114219.47-U26</f>
        <v>4659452.88</v>
      </c>
      <c r="V25" s="27">
        <f t="shared" si="3"/>
        <v>3.9978145688545685E-2</v>
      </c>
      <c r="W25" s="24">
        <f>5114219.47-W26</f>
        <v>4659452.88</v>
      </c>
      <c r="X25" s="27">
        <f t="shared" si="4"/>
        <v>3.9978145688545685E-2</v>
      </c>
      <c r="Y25" s="5"/>
      <c r="Z25" s="5"/>
      <c r="AA25" s="5"/>
    </row>
    <row r="26" spans="1:27" ht="63" customHeight="1">
      <c r="A26" s="21" t="s">
        <v>48</v>
      </c>
      <c r="B26" s="22" t="s">
        <v>49</v>
      </c>
      <c r="C26" s="22" t="s">
        <v>79</v>
      </c>
      <c r="D26" s="22" t="s">
        <v>80</v>
      </c>
      <c r="E26" s="22" t="s">
        <v>65</v>
      </c>
      <c r="F26" s="22" t="s">
        <v>81</v>
      </c>
      <c r="G26" s="22" t="s">
        <v>54</v>
      </c>
      <c r="H26" s="22" t="s">
        <v>55</v>
      </c>
      <c r="I26" s="22" t="s">
        <v>63</v>
      </c>
      <c r="J26" s="23">
        <v>3</v>
      </c>
      <c r="K26" s="24">
        <f>5527300</f>
        <v>5527300</v>
      </c>
      <c r="L26" s="24">
        <v>0</v>
      </c>
      <c r="M26" s="24">
        <v>0</v>
      </c>
      <c r="N26" s="25">
        <f t="shared" si="0"/>
        <v>5527300</v>
      </c>
      <c r="O26" s="25"/>
      <c r="P26" s="25"/>
      <c r="Q26" s="25"/>
      <c r="R26" s="25">
        <f t="shared" si="1"/>
        <v>5527300</v>
      </c>
      <c r="S26" s="24">
        <f>454766.59</f>
        <v>454766.59</v>
      </c>
      <c r="T26" s="27">
        <f t="shared" si="2"/>
        <v>8.2276444195176671E-2</v>
      </c>
      <c r="U26" s="28">
        <v>454766.59</v>
      </c>
      <c r="V26" s="27">
        <f t="shared" si="3"/>
        <v>8.2276444195176671E-2</v>
      </c>
      <c r="W26" s="24">
        <v>454766.59</v>
      </c>
      <c r="X26" s="27">
        <f t="shared" si="4"/>
        <v>8.2276444195176671E-2</v>
      </c>
      <c r="Y26" s="5"/>
      <c r="Z26" s="5"/>
      <c r="AA26" s="5"/>
    </row>
    <row r="27" spans="1:27" ht="63" hidden="1" customHeight="1">
      <c r="A27" s="21" t="s">
        <v>48</v>
      </c>
      <c r="B27" s="22" t="s">
        <v>49</v>
      </c>
      <c r="C27" s="22" t="s">
        <v>79</v>
      </c>
      <c r="D27" s="22" t="s">
        <v>80</v>
      </c>
      <c r="E27" s="22" t="s">
        <v>65</v>
      </c>
      <c r="F27" s="22" t="s">
        <v>81</v>
      </c>
      <c r="G27" s="22" t="s">
        <v>54</v>
      </c>
      <c r="H27" s="22" t="s">
        <v>82</v>
      </c>
      <c r="I27" s="22" t="s">
        <v>63</v>
      </c>
      <c r="J27" s="30">
        <v>1</v>
      </c>
      <c r="K27" s="24"/>
      <c r="L27" s="24"/>
      <c r="M27" s="24"/>
      <c r="N27" s="25">
        <f t="shared" si="0"/>
        <v>0</v>
      </c>
      <c r="O27" s="25"/>
      <c r="P27" s="25"/>
      <c r="Q27" s="25"/>
      <c r="R27" s="25">
        <f t="shared" si="1"/>
        <v>0</v>
      </c>
      <c r="S27" s="24"/>
      <c r="T27" s="27">
        <f t="shared" si="2"/>
        <v>0</v>
      </c>
      <c r="U27" s="31"/>
      <c r="V27" s="27">
        <f t="shared" si="3"/>
        <v>0</v>
      </c>
      <c r="W27" s="24"/>
      <c r="X27" s="27">
        <f t="shared" si="4"/>
        <v>0</v>
      </c>
      <c r="Y27" s="5"/>
      <c r="Z27" s="5"/>
      <c r="AA27" s="5"/>
    </row>
    <row r="28" spans="1:27" ht="63" customHeight="1">
      <c r="A28" s="21" t="s">
        <v>48</v>
      </c>
      <c r="B28" s="22" t="s">
        <v>49</v>
      </c>
      <c r="C28" s="22" t="s">
        <v>83</v>
      </c>
      <c r="D28" s="22" t="s">
        <v>84</v>
      </c>
      <c r="E28" s="22" t="s">
        <v>65</v>
      </c>
      <c r="F28" s="22" t="s">
        <v>85</v>
      </c>
      <c r="G28" s="22" t="s">
        <v>54</v>
      </c>
      <c r="H28" s="22" t="s">
        <v>55</v>
      </c>
      <c r="I28" s="22" t="s">
        <v>63</v>
      </c>
      <c r="J28" s="30">
        <v>1</v>
      </c>
      <c r="K28" s="24">
        <v>1444384</v>
      </c>
      <c r="L28" s="24">
        <v>0</v>
      </c>
      <c r="M28" s="24">
        <v>0</v>
      </c>
      <c r="N28" s="25">
        <f t="shared" si="0"/>
        <v>1444384</v>
      </c>
      <c r="O28" s="25"/>
      <c r="P28" s="25"/>
      <c r="Q28" s="25"/>
      <c r="R28" s="25">
        <f t="shared" si="1"/>
        <v>1444384</v>
      </c>
      <c r="S28" s="24">
        <v>2181.91</v>
      </c>
      <c r="T28" s="27">
        <f t="shared" si="2"/>
        <v>1.5106162904047675E-3</v>
      </c>
      <c r="U28" s="31">
        <v>2181.91</v>
      </c>
      <c r="V28" s="27">
        <f t="shared" si="3"/>
        <v>1.5106162904047675E-3</v>
      </c>
      <c r="W28" s="24">
        <v>2181.91</v>
      </c>
      <c r="X28" s="27">
        <f t="shared" si="4"/>
        <v>1.5106162904047675E-3</v>
      </c>
      <c r="Y28" s="5"/>
      <c r="Z28" s="5"/>
      <c r="AA28" s="5"/>
    </row>
    <row r="29" spans="1:27" ht="63" hidden="1" customHeight="1">
      <c r="A29" s="21" t="s">
        <v>48</v>
      </c>
      <c r="B29" s="22" t="s">
        <v>49</v>
      </c>
      <c r="C29" s="22" t="s">
        <v>83</v>
      </c>
      <c r="D29" s="22" t="s">
        <v>84</v>
      </c>
      <c r="E29" s="22" t="s">
        <v>65</v>
      </c>
      <c r="F29" s="22" t="s">
        <v>85</v>
      </c>
      <c r="G29" s="22" t="s">
        <v>54</v>
      </c>
      <c r="H29" s="22" t="s">
        <v>82</v>
      </c>
      <c r="I29" s="22" t="s">
        <v>63</v>
      </c>
      <c r="J29" s="30">
        <v>1</v>
      </c>
      <c r="K29" s="24"/>
      <c r="L29" s="24"/>
      <c r="M29" s="24"/>
      <c r="N29" s="25">
        <f t="shared" si="0"/>
        <v>0</v>
      </c>
      <c r="O29" s="25"/>
      <c r="P29" s="25"/>
      <c r="Q29" s="25"/>
      <c r="R29" s="25">
        <f t="shared" si="1"/>
        <v>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  <c r="Y29" s="5"/>
      <c r="Z29" s="5"/>
      <c r="AA29" s="5"/>
    </row>
    <row r="30" spans="1:27" ht="16.5" customHeight="1">
      <c r="A30" s="141" t="s">
        <v>86</v>
      </c>
      <c r="B30" s="127"/>
      <c r="C30" s="127"/>
      <c r="D30" s="127"/>
      <c r="E30" s="127"/>
      <c r="F30" s="127"/>
      <c r="G30" s="127"/>
      <c r="H30" s="127"/>
      <c r="I30" s="127"/>
      <c r="J30" s="128"/>
      <c r="K30" s="38">
        <f t="shared" ref="K30:N30" si="5">SUM(K15:K29)</f>
        <v>869269000</v>
      </c>
      <c r="L30" s="38">
        <f t="shared" si="5"/>
        <v>20346257.030000001</v>
      </c>
      <c r="M30" s="38">
        <f t="shared" si="5"/>
        <v>20346257.030000001</v>
      </c>
      <c r="N30" s="38">
        <f t="shared" si="5"/>
        <v>869269000</v>
      </c>
      <c r="O30" s="38">
        <f t="shared" ref="O30:P30" si="6">SUM(O15:O28)</f>
        <v>0</v>
      </c>
      <c r="P30" s="38">
        <f t="shared" si="6"/>
        <v>0</v>
      </c>
      <c r="Q30" s="38">
        <f t="shared" ref="Q30:S30" si="7">SUM(Q15:Q29)</f>
        <v>0</v>
      </c>
      <c r="R30" s="38">
        <f t="shared" si="7"/>
        <v>869269000</v>
      </c>
      <c r="S30" s="38">
        <f t="shared" si="7"/>
        <v>60480162.460000001</v>
      </c>
      <c r="T30" s="39">
        <f t="shared" si="2"/>
        <v>6.9575887855197874E-2</v>
      </c>
      <c r="U30" s="38">
        <f>SUM(U15:U29)</f>
        <v>60441162.460000001</v>
      </c>
      <c r="V30" s="39">
        <f t="shared" si="3"/>
        <v>6.9531022571839102E-2</v>
      </c>
      <c r="W30" s="38">
        <f>SUM(W15:W29)</f>
        <v>60402318.43</v>
      </c>
      <c r="X30" s="39">
        <f t="shared" si="4"/>
        <v>6.9486336715102001E-2</v>
      </c>
      <c r="Y30" s="5"/>
      <c r="Z30" s="5"/>
      <c r="AA30" s="5"/>
    </row>
    <row r="31" spans="1:27" ht="1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9"/>
      <c r="W31" s="38"/>
      <c r="X31" s="39"/>
      <c r="Y31" s="5"/>
      <c r="Z31" s="5"/>
      <c r="AA31" s="5"/>
    </row>
    <row r="32" spans="1:27" ht="1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37"/>
      <c r="U32" s="42"/>
      <c r="V32" s="37"/>
      <c r="W32" s="42"/>
      <c r="X32" s="37"/>
      <c r="Y32" s="5"/>
      <c r="Z32" s="5"/>
      <c r="AA32" s="5"/>
    </row>
    <row r="33" spans="1:27" ht="54" customHeight="1">
      <c r="A33" s="21" t="s">
        <v>87</v>
      </c>
      <c r="B33" s="22" t="s">
        <v>88</v>
      </c>
      <c r="C33" s="22" t="s">
        <v>50</v>
      </c>
      <c r="D33" s="22" t="s">
        <v>89</v>
      </c>
      <c r="E33" s="32" t="s">
        <v>90</v>
      </c>
      <c r="F33" s="22" t="s">
        <v>91</v>
      </c>
      <c r="G33" s="22" t="s">
        <v>54</v>
      </c>
      <c r="H33" s="22" t="s">
        <v>92</v>
      </c>
      <c r="I33" s="22" t="s">
        <v>56</v>
      </c>
      <c r="J33" s="43">
        <v>4</v>
      </c>
      <c r="K33" s="44">
        <v>2000000</v>
      </c>
      <c r="L33" s="24">
        <v>0</v>
      </c>
      <c r="M33" s="24">
        <v>0</v>
      </c>
      <c r="N33" s="25">
        <f t="shared" ref="N33:N71" si="8">K33+L33-M33</f>
        <v>2000000</v>
      </c>
      <c r="O33" s="25"/>
      <c r="P33" s="25"/>
      <c r="Q33" s="25"/>
      <c r="R33" s="25">
        <f t="shared" ref="R33:R71" si="9">N33-O33+P33+Q33</f>
        <v>2000000</v>
      </c>
      <c r="S33" s="44">
        <v>1883187.59</v>
      </c>
      <c r="T33" s="27">
        <f t="shared" ref="T33:T73" si="10">IF(R33&gt;0,S33/R33,0)</f>
        <v>0.94159379500000007</v>
      </c>
      <c r="U33" s="45">
        <v>0</v>
      </c>
      <c r="V33" s="27">
        <f t="shared" ref="V33:V73" si="11">IF(R33&gt;0,U33/R33,0)</f>
        <v>0</v>
      </c>
      <c r="W33" s="24">
        <v>0</v>
      </c>
      <c r="X33" s="27">
        <f t="shared" ref="X33:X73" si="12">IF(R33&gt;0,W33/R33,0)</f>
        <v>0</v>
      </c>
      <c r="Y33" s="5"/>
      <c r="Z33" s="5"/>
      <c r="AA33" s="5"/>
    </row>
    <row r="34" spans="1:27" ht="54" hidden="1" customHeight="1">
      <c r="A34" s="21" t="s">
        <v>87</v>
      </c>
      <c r="B34" s="22" t="s">
        <v>88</v>
      </c>
      <c r="C34" s="22" t="s">
        <v>50</v>
      </c>
      <c r="D34" s="22" t="s">
        <v>93</v>
      </c>
      <c r="E34" s="32" t="s">
        <v>90</v>
      </c>
      <c r="F34" s="22" t="s">
        <v>91</v>
      </c>
      <c r="G34" s="22" t="s">
        <v>54</v>
      </c>
      <c r="H34" s="22" t="s">
        <v>94</v>
      </c>
      <c r="I34" s="22" t="s">
        <v>56</v>
      </c>
      <c r="J34" s="23">
        <v>3</v>
      </c>
      <c r="K34" s="44"/>
      <c r="L34" s="24"/>
      <c r="M34" s="24"/>
      <c r="N34" s="25">
        <f t="shared" si="8"/>
        <v>0</v>
      </c>
      <c r="O34" s="25"/>
      <c r="P34" s="25"/>
      <c r="Q34" s="25"/>
      <c r="R34" s="25">
        <f t="shared" si="9"/>
        <v>0</v>
      </c>
      <c r="S34" s="44"/>
      <c r="T34" s="27">
        <f t="shared" si="10"/>
        <v>0</v>
      </c>
      <c r="U34" s="28"/>
      <c r="V34" s="27">
        <f t="shared" si="11"/>
        <v>0</v>
      </c>
      <c r="W34" s="24"/>
      <c r="X34" s="27">
        <f t="shared" si="12"/>
        <v>0</v>
      </c>
      <c r="Y34" s="5"/>
      <c r="Z34" s="5"/>
      <c r="AA34" s="5"/>
    </row>
    <row r="35" spans="1:27" ht="54" hidden="1" customHeight="1">
      <c r="A35" s="21" t="s">
        <v>87</v>
      </c>
      <c r="B35" s="22" t="s">
        <v>88</v>
      </c>
      <c r="C35" s="22" t="s">
        <v>50</v>
      </c>
      <c r="D35" s="22" t="s">
        <v>95</v>
      </c>
      <c r="E35" s="32" t="s">
        <v>90</v>
      </c>
      <c r="F35" s="22" t="s">
        <v>91</v>
      </c>
      <c r="G35" s="22" t="s">
        <v>54</v>
      </c>
      <c r="H35" s="22" t="s">
        <v>94</v>
      </c>
      <c r="I35" s="22" t="s">
        <v>56</v>
      </c>
      <c r="J35" s="43">
        <v>4</v>
      </c>
      <c r="K35" s="44"/>
      <c r="L35" s="24"/>
      <c r="M35" s="24"/>
      <c r="N35" s="25">
        <f t="shared" si="8"/>
        <v>0</v>
      </c>
      <c r="O35" s="25"/>
      <c r="P35" s="25"/>
      <c r="Q35" s="25"/>
      <c r="R35" s="25">
        <f t="shared" si="9"/>
        <v>0</v>
      </c>
      <c r="S35" s="44"/>
      <c r="T35" s="27">
        <f t="shared" si="10"/>
        <v>0</v>
      </c>
      <c r="U35" s="45"/>
      <c r="V35" s="27">
        <f t="shared" si="11"/>
        <v>0</v>
      </c>
      <c r="W35" s="24"/>
      <c r="X35" s="27">
        <f t="shared" si="12"/>
        <v>0</v>
      </c>
      <c r="Y35" s="5"/>
      <c r="Z35" s="5"/>
      <c r="AA35" s="5"/>
    </row>
    <row r="36" spans="1:27" ht="54" hidden="1" customHeight="1">
      <c r="A36" s="21" t="s">
        <v>87</v>
      </c>
      <c r="B36" s="22" t="s">
        <v>88</v>
      </c>
      <c r="C36" s="22" t="s">
        <v>50</v>
      </c>
      <c r="D36" s="22" t="s">
        <v>96</v>
      </c>
      <c r="E36" s="32" t="s">
        <v>90</v>
      </c>
      <c r="F36" s="22" t="s">
        <v>91</v>
      </c>
      <c r="G36" s="22" t="s">
        <v>54</v>
      </c>
      <c r="H36" s="22" t="s">
        <v>92</v>
      </c>
      <c r="I36" s="22" t="s">
        <v>56</v>
      </c>
      <c r="J36" s="23">
        <v>3</v>
      </c>
      <c r="K36" s="44"/>
      <c r="L36" s="24"/>
      <c r="M36" s="24"/>
      <c r="N36" s="25">
        <f t="shared" si="8"/>
        <v>0</v>
      </c>
      <c r="O36" s="25"/>
      <c r="P36" s="25"/>
      <c r="Q36" s="25"/>
      <c r="R36" s="25">
        <f t="shared" si="9"/>
        <v>0</v>
      </c>
      <c r="S36" s="44"/>
      <c r="T36" s="27">
        <f t="shared" si="10"/>
        <v>0</v>
      </c>
      <c r="U36" s="28"/>
      <c r="V36" s="27">
        <f t="shared" si="11"/>
        <v>0</v>
      </c>
      <c r="W36" s="24"/>
      <c r="X36" s="27">
        <f t="shared" si="12"/>
        <v>0</v>
      </c>
      <c r="Y36" s="5"/>
      <c r="Z36" s="5"/>
      <c r="AA36" s="5"/>
    </row>
    <row r="37" spans="1:27" ht="54" hidden="1" customHeight="1">
      <c r="A37" s="46" t="s">
        <v>87</v>
      </c>
      <c r="B37" s="22" t="s">
        <v>88</v>
      </c>
      <c r="C37" s="47" t="s">
        <v>50</v>
      </c>
      <c r="D37" s="47" t="s">
        <v>96</v>
      </c>
      <c r="E37" s="32" t="s">
        <v>90</v>
      </c>
      <c r="F37" s="22" t="s">
        <v>91</v>
      </c>
      <c r="G37" s="47" t="s">
        <v>54</v>
      </c>
      <c r="H37" s="47" t="s">
        <v>94</v>
      </c>
      <c r="I37" s="22" t="s">
        <v>56</v>
      </c>
      <c r="J37" s="48">
        <v>4</v>
      </c>
      <c r="K37" s="44"/>
      <c r="L37" s="49"/>
      <c r="M37" s="49"/>
      <c r="N37" s="25">
        <f t="shared" si="8"/>
        <v>0</v>
      </c>
      <c r="O37" s="50"/>
      <c r="P37" s="50"/>
      <c r="Q37" s="50"/>
      <c r="R37" s="25">
        <f t="shared" si="9"/>
        <v>0</v>
      </c>
      <c r="S37" s="51"/>
      <c r="T37" s="27">
        <f t="shared" si="10"/>
        <v>0</v>
      </c>
      <c r="U37" s="52"/>
      <c r="V37" s="27">
        <f t="shared" si="11"/>
        <v>0</v>
      </c>
      <c r="W37" s="49"/>
      <c r="X37" s="27">
        <f t="shared" si="12"/>
        <v>0</v>
      </c>
      <c r="Y37" s="5"/>
      <c r="Z37" s="5"/>
      <c r="AA37" s="5"/>
    </row>
    <row r="38" spans="1:27" ht="54" customHeight="1">
      <c r="A38" s="21" t="s">
        <v>87</v>
      </c>
      <c r="B38" s="22" t="s">
        <v>88</v>
      </c>
      <c r="C38" s="22" t="s">
        <v>50</v>
      </c>
      <c r="D38" s="22" t="s">
        <v>97</v>
      </c>
      <c r="E38" s="32" t="s">
        <v>90</v>
      </c>
      <c r="F38" s="22" t="s">
        <v>91</v>
      </c>
      <c r="G38" s="22" t="s">
        <v>54</v>
      </c>
      <c r="H38" s="22" t="s">
        <v>92</v>
      </c>
      <c r="I38" s="22" t="s">
        <v>56</v>
      </c>
      <c r="J38" s="23">
        <v>3</v>
      </c>
      <c r="K38" s="33">
        <v>0</v>
      </c>
      <c r="L38" s="24">
        <v>861515.9</v>
      </c>
      <c r="M38" s="24">
        <v>0</v>
      </c>
      <c r="N38" s="25">
        <f t="shared" si="8"/>
        <v>861515.9</v>
      </c>
      <c r="O38" s="26"/>
      <c r="P38" s="26"/>
      <c r="Q38" s="26"/>
      <c r="R38" s="25">
        <f t="shared" si="9"/>
        <v>861515.9</v>
      </c>
      <c r="S38" s="36">
        <v>0</v>
      </c>
      <c r="T38" s="27">
        <f t="shared" si="10"/>
        <v>0</v>
      </c>
      <c r="U38" s="28">
        <v>0</v>
      </c>
      <c r="V38" s="27">
        <f t="shared" si="11"/>
        <v>0</v>
      </c>
      <c r="W38" s="24">
        <v>0</v>
      </c>
      <c r="X38" s="27">
        <f t="shared" si="12"/>
        <v>0</v>
      </c>
      <c r="Y38" s="5"/>
      <c r="Z38" s="5"/>
      <c r="AA38" s="5"/>
    </row>
    <row r="39" spans="1:27" ht="54" hidden="1" customHeight="1">
      <c r="A39" s="21" t="s">
        <v>87</v>
      </c>
      <c r="B39" s="22" t="s">
        <v>88</v>
      </c>
      <c r="C39" s="22" t="s">
        <v>50</v>
      </c>
      <c r="D39" s="22" t="s">
        <v>97</v>
      </c>
      <c r="E39" s="32" t="s">
        <v>90</v>
      </c>
      <c r="F39" s="22" t="s">
        <v>91</v>
      </c>
      <c r="G39" s="22" t="s">
        <v>54</v>
      </c>
      <c r="H39" s="22" t="s">
        <v>92</v>
      </c>
      <c r="I39" s="22" t="s">
        <v>56</v>
      </c>
      <c r="J39" s="43">
        <v>4</v>
      </c>
      <c r="K39" s="33">
        <v>0</v>
      </c>
      <c r="L39" s="24">
        <v>0</v>
      </c>
      <c r="M39" s="24">
        <v>0</v>
      </c>
      <c r="N39" s="25">
        <f t="shared" si="8"/>
        <v>0</v>
      </c>
      <c r="O39" s="26"/>
      <c r="P39" s="26"/>
      <c r="Q39" s="26"/>
      <c r="R39" s="25">
        <f t="shared" si="9"/>
        <v>0</v>
      </c>
      <c r="S39" s="36">
        <v>0</v>
      </c>
      <c r="T39" s="27">
        <f t="shared" si="10"/>
        <v>0</v>
      </c>
      <c r="U39" s="45">
        <v>0</v>
      </c>
      <c r="V39" s="27">
        <f t="shared" si="11"/>
        <v>0</v>
      </c>
      <c r="W39" s="24">
        <v>0</v>
      </c>
      <c r="X39" s="27">
        <f t="shared" si="12"/>
        <v>0</v>
      </c>
      <c r="Y39" s="5"/>
      <c r="Z39" s="5"/>
      <c r="AA39" s="5"/>
    </row>
    <row r="40" spans="1:27" ht="54" hidden="1" customHeight="1">
      <c r="A40" s="21" t="s">
        <v>87</v>
      </c>
      <c r="B40" s="22" t="s">
        <v>88</v>
      </c>
      <c r="C40" s="22" t="s">
        <v>50</v>
      </c>
      <c r="D40" s="22" t="s">
        <v>97</v>
      </c>
      <c r="E40" s="32" t="s">
        <v>90</v>
      </c>
      <c r="F40" s="22" t="s">
        <v>91</v>
      </c>
      <c r="G40" s="22" t="s">
        <v>54</v>
      </c>
      <c r="H40" s="22" t="s">
        <v>94</v>
      </c>
      <c r="I40" s="22" t="s">
        <v>56</v>
      </c>
      <c r="J40" s="23">
        <v>3</v>
      </c>
      <c r="K40" s="33"/>
      <c r="L40" s="24"/>
      <c r="M40" s="24"/>
      <c r="N40" s="25">
        <f t="shared" si="8"/>
        <v>0</v>
      </c>
      <c r="O40" s="26"/>
      <c r="P40" s="26"/>
      <c r="Q40" s="26"/>
      <c r="R40" s="25">
        <f t="shared" si="9"/>
        <v>0</v>
      </c>
      <c r="S40" s="36">
        <v>0</v>
      </c>
      <c r="T40" s="27">
        <f t="shared" si="10"/>
        <v>0</v>
      </c>
      <c r="U40" s="28">
        <v>0</v>
      </c>
      <c r="V40" s="27">
        <f t="shared" si="11"/>
        <v>0</v>
      </c>
      <c r="W40" s="24">
        <v>0</v>
      </c>
      <c r="X40" s="27">
        <f t="shared" si="12"/>
        <v>0</v>
      </c>
      <c r="Y40" s="5"/>
      <c r="Z40" s="5"/>
      <c r="AA40" s="5"/>
    </row>
    <row r="41" spans="1:27" ht="54" customHeight="1">
      <c r="A41" s="21" t="s">
        <v>87</v>
      </c>
      <c r="B41" s="22" t="s">
        <v>88</v>
      </c>
      <c r="C41" s="22" t="s">
        <v>50</v>
      </c>
      <c r="D41" s="22" t="s">
        <v>98</v>
      </c>
      <c r="E41" s="32" t="s">
        <v>90</v>
      </c>
      <c r="F41" s="22" t="s">
        <v>99</v>
      </c>
      <c r="G41" s="22" t="s">
        <v>54</v>
      </c>
      <c r="H41" s="22" t="s">
        <v>92</v>
      </c>
      <c r="I41" s="22" t="s">
        <v>56</v>
      </c>
      <c r="J41" s="43">
        <v>4</v>
      </c>
      <c r="K41" s="33">
        <v>3000000</v>
      </c>
      <c r="L41" s="24">
        <v>0</v>
      </c>
      <c r="M41" s="24">
        <v>0</v>
      </c>
      <c r="N41" s="25">
        <f t="shared" si="8"/>
        <v>3000000</v>
      </c>
      <c r="O41" s="26"/>
      <c r="P41" s="26"/>
      <c r="Q41" s="26"/>
      <c r="R41" s="25">
        <f t="shared" si="9"/>
        <v>3000000</v>
      </c>
      <c r="S41" s="36">
        <v>0</v>
      </c>
      <c r="T41" s="27">
        <f t="shared" si="10"/>
        <v>0</v>
      </c>
      <c r="U41" s="45">
        <v>0</v>
      </c>
      <c r="V41" s="27">
        <f t="shared" si="11"/>
        <v>0</v>
      </c>
      <c r="W41" s="34">
        <v>0</v>
      </c>
      <c r="X41" s="27">
        <f t="shared" si="12"/>
        <v>0</v>
      </c>
      <c r="Y41" s="5"/>
      <c r="Z41" s="5"/>
      <c r="AA41" s="5"/>
    </row>
    <row r="42" spans="1:27" ht="54" customHeight="1">
      <c r="A42" s="21" t="s">
        <v>87</v>
      </c>
      <c r="B42" s="22" t="s">
        <v>88</v>
      </c>
      <c r="C42" s="22" t="s">
        <v>50</v>
      </c>
      <c r="D42" s="22" t="s">
        <v>100</v>
      </c>
      <c r="E42" s="32" t="s">
        <v>90</v>
      </c>
      <c r="F42" s="22" t="s">
        <v>101</v>
      </c>
      <c r="G42" s="22" t="s">
        <v>54</v>
      </c>
      <c r="H42" s="22" t="s">
        <v>92</v>
      </c>
      <c r="I42" s="22" t="s">
        <v>56</v>
      </c>
      <c r="J42" s="43">
        <v>4</v>
      </c>
      <c r="K42" s="33">
        <v>50000</v>
      </c>
      <c r="L42" s="24">
        <v>0</v>
      </c>
      <c r="M42" s="24">
        <v>0</v>
      </c>
      <c r="N42" s="25">
        <f t="shared" si="8"/>
        <v>50000</v>
      </c>
      <c r="O42" s="25"/>
      <c r="P42" s="25"/>
      <c r="Q42" s="25"/>
      <c r="R42" s="25">
        <f t="shared" si="9"/>
        <v>50000</v>
      </c>
      <c r="S42" s="33">
        <v>0</v>
      </c>
      <c r="T42" s="27">
        <f t="shared" si="10"/>
        <v>0</v>
      </c>
      <c r="U42" s="45">
        <v>0</v>
      </c>
      <c r="V42" s="27">
        <f t="shared" si="11"/>
        <v>0</v>
      </c>
      <c r="W42" s="24">
        <v>0</v>
      </c>
      <c r="X42" s="27">
        <f t="shared" si="12"/>
        <v>0</v>
      </c>
      <c r="Y42" s="5"/>
      <c r="Z42" s="5"/>
      <c r="AA42" s="5"/>
    </row>
    <row r="43" spans="1:27" ht="54" customHeight="1">
      <c r="A43" s="21" t="s">
        <v>87</v>
      </c>
      <c r="B43" s="22" t="s">
        <v>88</v>
      </c>
      <c r="C43" s="22" t="s">
        <v>50</v>
      </c>
      <c r="D43" s="22" t="s">
        <v>51</v>
      </c>
      <c r="E43" s="32" t="s">
        <v>90</v>
      </c>
      <c r="F43" s="22" t="s">
        <v>102</v>
      </c>
      <c r="G43" s="22" t="s">
        <v>54</v>
      </c>
      <c r="H43" s="22" t="s">
        <v>92</v>
      </c>
      <c r="I43" s="22" t="s">
        <v>56</v>
      </c>
      <c r="J43" s="23">
        <v>3</v>
      </c>
      <c r="K43" s="33">
        <f>44253337-K44</f>
        <v>43753337</v>
      </c>
      <c r="L43" s="24">
        <f>862193.4</f>
        <v>862193.4</v>
      </c>
      <c r="M43" s="24">
        <f>4326709.3</f>
        <v>4326709.3</v>
      </c>
      <c r="N43" s="25">
        <f t="shared" si="8"/>
        <v>40288821.100000001</v>
      </c>
      <c r="O43" s="25"/>
      <c r="P43" s="25"/>
      <c r="Q43" s="25"/>
      <c r="R43" s="25">
        <f t="shared" si="9"/>
        <v>40288821.100000001</v>
      </c>
      <c r="S43" s="33">
        <f>21607477.04-S44</f>
        <v>21597277.039999999</v>
      </c>
      <c r="T43" s="27">
        <f t="shared" si="10"/>
        <v>0.53606128078043958</v>
      </c>
      <c r="U43" s="28">
        <v>573483.19999999995</v>
      </c>
      <c r="V43" s="27">
        <f t="shared" si="11"/>
        <v>1.4234300839346226E-2</v>
      </c>
      <c r="W43" s="24">
        <v>0</v>
      </c>
      <c r="X43" s="27">
        <f t="shared" si="12"/>
        <v>0</v>
      </c>
      <c r="Y43" s="5"/>
      <c r="Z43" s="5"/>
      <c r="AA43" s="5"/>
    </row>
    <row r="44" spans="1:27" ht="54" customHeight="1">
      <c r="A44" s="21" t="s">
        <v>87</v>
      </c>
      <c r="B44" s="22" t="s">
        <v>88</v>
      </c>
      <c r="C44" s="22" t="s">
        <v>50</v>
      </c>
      <c r="D44" s="22" t="s">
        <v>51</v>
      </c>
      <c r="E44" s="32" t="s">
        <v>90</v>
      </c>
      <c r="F44" s="22" t="s">
        <v>102</v>
      </c>
      <c r="G44" s="22" t="s">
        <v>54</v>
      </c>
      <c r="H44" s="22" t="s">
        <v>92</v>
      </c>
      <c r="I44" s="22" t="s">
        <v>56</v>
      </c>
      <c r="J44" s="43">
        <v>4</v>
      </c>
      <c r="K44" s="33">
        <f>500000</f>
        <v>500000</v>
      </c>
      <c r="L44" s="24">
        <v>0</v>
      </c>
      <c r="M44" s="24">
        <v>0</v>
      </c>
      <c r="N44" s="25">
        <f t="shared" si="8"/>
        <v>500000</v>
      </c>
      <c r="O44" s="25"/>
      <c r="P44" s="25"/>
      <c r="Q44" s="25"/>
      <c r="R44" s="25">
        <f t="shared" si="9"/>
        <v>500000</v>
      </c>
      <c r="S44" s="24">
        <v>10200</v>
      </c>
      <c r="T44" s="27">
        <f t="shared" si="10"/>
        <v>2.0400000000000001E-2</v>
      </c>
      <c r="U44" s="45">
        <v>0</v>
      </c>
      <c r="V44" s="27">
        <f t="shared" si="11"/>
        <v>0</v>
      </c>
      <c r="W44" s="24">
        <v>0</v>
      </c>
      <c r="X44" s="27">
        <f t="shared" si="12"/>
        <v>0</v>
      </c>
      <c r="Y44" s="5"/>
      <c r="Z44" s="5"/>
      <c r="AA44" s="5"/>
    </row>
    <row r="45" spans="1:27" ht="54" hidden="1" customHeight="1">
      <c r="A45" s="21" t="s">
        <v>87</v>
      </c>
      <c r="B45" s="32" t="s">
        <v>88</v>
      </c>
      <c r="C45" s="32" t="s">
        <v>50</v>
      </c>
      <c r="D45" s="32" t="s">
        <v>51</v>
      </c>
      <c r="E45" s="32" t="s">
        <v>90</v>
      </c>
      <c r="F45" s="22" t="s">
        <v>102</v>
      </c>
      <c r="G45" s="32" t="s">
        <v>54</v>
      </c>
      <c r="H45" s="32" t="s">
        <v>94</v>
      </c>
      <c r="I45" s="32" t="s">
        <v>56</v>
      </c>
      <c r="J45" s="23">
        <v>3</v>
      </c>
      <c r="K45" s="33">
        <v>0</v>
      </c>
      <c r="L45" s="34">
        <v>0</v>
      </c>
      <c r="M45" s="34">
        <v>0</v>
      </c>
      <c r="N45" s="35">
        <f t="shared" si="8"/>
        <v>0</v>
      </c>
      <c r="O45" s="35"/>
      <c r="P45" s="35"/>
      <c r="Q45" s="35"/>
      <c r="R45" s="35">
        <f t="shared" si="9"/>
        <v>0</v>
      </c>
      <c r="S45" s="34">
        <v>0</v>
      </c>
      <c r="T45" s="37">
        <f t="shared" si="10"/>
        <v>0</v>
      </c>
      <c r="U45" s="53">
        <v>0</v>
      </c>
      <c r="V45" s="37">
        <f t="shared" si="11"/>
        <v>0</v>
      </c>
      <c r="W45" s="34">
        <v>0</v>
      </c>
      <c r="X45" s="37">
        <f t="shared" si="12"/>
        <v>0</v>
      </c>
      <c r="Y45" s="5"/>
      <c r="Z45" s="5"/>
      <c r="AA45" s="5"/>
    </row>
    <row r="46" spans="1:27" ht="54" customHeight="1">
      <c r="A46" s="21" t="s">
        <v>87</v>
      </c>
      <c r="B46" s="32" t="s">
        <v>88</v>
      </c>
      <c r="C46" s="32" t="s">
        <v>50</v>
      </c>
      <c r="D46" s="32" t="s">
        <v>57</v>
      </c>
      <c r="E46" s="32" t="s">
        <v>90</v>
      </c>
      <c r="F46" s="32" t="s">
        <v>103</v>
      </c>
      <c r="G46" s="32" t="s">
        <v>54</v>
      </c>
      <c r="H46" s="32" t="s">
        <v>92</v>
      </c>
      <c r="I46" s="32" t="s">
        <v>56</v>
      </c>
      <c r="J46" s="23">
        <v>3</v>
      </c>
      <c r="K46" s="33">
        <v>65000</v>
      </c>
      <c r="L46" s="34">
        <v>0</v>
      </c>
      <c r="M46" s="34">
        <v>0</v>
      </c>
      <c r="N46" s="35">
        <f t="shared" si="8"/>
        <v>65000</v>
      </c>
      <c r="O46" s="35"/>
      <c r="P46" s="35"/>
      <c r="Q46" s="35"/>
      <c r="R46" s="35">
        <f t="shared" si="9"/>
        <v>65000</v>
      </c>
      <c r="S46" s="34">
        <v>0</v>
      </c>
      <c r="T46" s="37">
        <f t="shared" si="10"/>
        <v>0</v>
      </c>
      <c r="U46" s="53">
        <v>0</v>
      </c>
      <c r="V46" s="37">
        <f t="shared" si="11"/>
        <v>0</v>
      </c>
      <c r="W46" s="34">
        <v>0</v>
      </c>
      <c r="X46" s="37">
        <f t="shared" si="12"/>
        <v>0</v>
      </c>
      <c r="Y46" s="5"/>
      <c r="Z46" s="5"/>
      <c r="AA46" s="5"/>
    </row>
    <row r="47" spans="1:27" ht="54" hidden="1" customHeight="1">
      <c r="A47" s="21" t="s">
        <v>87</v>
      </c>
      <c r="B47" s="32" t="s">
        <v>88</v>
      </c>
      <c r="C47" s="32" t="s">
        <v>50</v>
      </c>
      <c r="D47" s="32" t="s">
        <v>57</v>
      </c>
      <c r="E47" s="32" t="s">
        <v>104</v>
      </c>
      <c r="F47" s="32" t="s">
        <v>103</v>
      </c>
      <c r="G47" s="32" t="s">
        <v>54</v>
      </c>
      <c r="H47" s="32" t="s">
        <v>94</v>
      </c>
      <c r="I47" s="32" t="s">
        <v>63</v>
      </c>
      <c r="J47" s="23">
        <v>3</v>
      </c>
      <c r="K47" s="33">
        <v>0</v>
      </c>
      <c r="L47" s="34">
        <v>0</v>
      </c>
      <c r="M47" s="34">
        <v>0</v>
      </c>
      <c r="N47" s="35">
        <f t="shared" si="8"/>
        <v>0</v>
      </c>
      <c r="O47" s="35"/>
      <c r="P47" s="35"/>
      <c r="Q47" s="35"/>
      <c r="R47" s="35">
        <f t="shared" si="9"/>
        <v>0</v>
      </c>
      <c r="S47" s="36">
        <v>0</v>
      </c>
      <c r="T47" s="37">
        <f t="shared" si="10"/>
        <v>0</v>
      </c>
      <c r="U47" s="53">
        <v>0</v>
      </c>
      <c r="V47" s="37">
        <f t="shared" si="11"/>
        <v>0</v>
      </c>
      <c r="W47" s="34">
        <v>0</v>
      </c>
      <c r="X47" s="37">
        <f t="shared" si="12"/>
        <v>0</v>
      </c>
      <c r="Y47" s="5"/>
      <c r="Z47" s="5"/>
      <c r="AA47" s="5"/>
    </row>
    <row r="48" spans="1:27" ht="54" customHeight="1">
      <c r="A48" s="21" t="s">
        <v>87</v>
      </c>
      <c r="B48" s="32" t="s">
        <v>88</v>
      </c>
      <c r="C48" s="32" t="s">
        <v>50</v>
      </c>
      <c r="D48" s="32" t="s">
        <v>105</v>
      </c>
      <c r="E48" s="32" t="s">
        <v>104</v>
      </c>
      <c r="F48" s="32" t="s">
        <v>106</v>
      </c>
      <c r="G48" s="32" t="s">
        <v>54</v>
      </c>
      <c r="H48" s="32" t="s">
        <v>92</v>
      </c>
      <c r="I48" s="32" t="s">
        <v>63</v>
      </c>
      <c r="J48" s="43">
        <v>4</v>
      </c>
      <c r="K48" s="33">
        <v>800000</v>
      </c>
      <c r="L48" s="34">
        <v>0</v>
      </c>
      <c r="M48" s="34">
        <v>0</v>
      </c>
      <c r="N48" s="35">
        <f t="shared" si="8"/>
        <v>800000</v>
      </c>
      <c r="O48" s="35"/>
      <c r="P48" s="35"/>
      <c r="Q48" s="35"/>
      <c r="R48" s="35">
        <f t="shared" si="9"/>
        <v>800000</v>
      </c>
      <c r="S48" s="36">
        <v>0</v>
      </c>
      <c r="T48" s="37">
        <f t="shared" si="10"/>
        <v>0</v>
      </c>
      <c r="U48" s="45">
        <v>0</v>
      </c>
      <c r="V48" s="37">
        <f t="shared" si="11"/>
        <v>0</v>
      </c>
      <c r="W48" s="34">
        <v>0</v>
      </c>
      <c r="X48" s="37">
        <f t="shared" si="12"/>
        <v>0</v>
      </c>
      <c r="Y48" s="5"/>
      <c r="Z48" s="5"/>
      <c r="AA48" s="5"/>
    </row>
    <row r="49" spans="1:27" ht="54" customHeight="1">
      <c r="A49" s="21" t="s">
        <v>87</v>
      </c>
      <c r="B49" s="32" t="s">
        <v>88</v>
      </c>
      <c r="C49" s="32" t="s">
        <v>50</v>
      </c>
      <c r="D49" s="32" t="s">
        <v>107</v>
      </c>
      <c r="E49" s="32" t="s">
        <v>104</v>
      </c>
      <c r="F49" s="32" t="s">
        <v>108</v>
      </c>
      <c r="G49" s="32" t="s">
        <v>54</v>
      </c>
      <c r="H49" s="32" t="s">
        <v>92</v>
      </c>
      <c r="I49" s="32" t="s">
        <v>63</v>
      </c>
      <c r="J49" s="43">
        <v>4</v>
      </c>
      <c r="K49" s="33">
        <v>50000</v>
      </c>
      <c r="L49" s="34">
        <v>0</v>
      </c>
      <c r="M49" s="34">
        <v>0</v>
      </c>
      <c r="N49" s="35">
        <f t="shared" si="8"/>
        <v>50000</v>
      </c>
      <c r="O49" s="35"/>
      <c r="P49" s="35"/>
      <c r="Q49" s="35"/>
      <c r="R49" s="35">
        <f t="shared" si="9"/>
        <v>50000</v>
      </c>
      <c r="S49" s="36">
        <v>0</v>
      </c>
      <c r="T49" s="37">
        <f t="shared" si="10"/>
        <v>0</v>
      </c>
      <c r="U49" s="45">
        <v>0</v>
      </c>
      <c r="V49" s="37">
        <f t="shared" si="11"/>
        <v>0</v>
      </c>
      <c r="W49" s="34">
        <v>0</v>
      </c>
      <c r="X49" s="37">
        <f t="shared" si="12"/>
        <v>0</v>
      </c>
      <c r="Y49" s="5"/>
      <c r="Z49" s="5"/>
      <c r="AA49" s="5"/>
    </row>
    <row r="50" spans="1:27" ht="54" hidden="1" customHeight="1">
      <c r="A50" s="21" t="s">
        <v>87</v>
      </c>
      <c r="B50" s="32" t="s">
        <v>88</v>
      </c>
      <c r="C50" s="32" t="s">
        <v>50</v>
      </c>
      <c r="D50" s="32" t="s">
        <v>109</v>
      </c>
      <c r="E50" s="32" t="s">
        <v>104</v>
      </c>
      <c r="F50" s="32" t="s">
        <v>110</v>
      </c>
      <c r="G50" s="32" t="s">
        <v>54</v>
      </c>
      <c r="H50" s="32" t="s">
        <v>94</v>
      </c>
      <c r="I50" s="32" t="s">
        <v>63</v>
      </c>
      <c r="J50" s="23">
        <v>3</v>
      </c>
      <c r="K50" s="33"/>
      <c r="L50" s="34"/>
      <c r="M50" s="34"/>
      <c r="N50" s="35">
        <f t="shared" si="8"/>
        <v>0</v>
      </c>
      <c r="O50" s="35"/>
      <c r="P50" s="35"/>
      <c r="Q50" s="35"/>
      <c r="R50" s="35">
        <f t="shared" si="9"/>
        <v>0</v>
      </c>
      <c r="S50" s="36"/>
      <c r="T50" s="37">
        <f t="shared" si="10"/>
        <v>0</v>
      </c>
      <c r="U50" s="28"/>
      <c r="V50" s="37">
        <f t="shared" si="11"/>
        <v>0</v>
      </c>
      <c r="W50" s="34"/>
      <c r="X50" s="37">
        <f t="shared" si="12"/>
        <v>0</v>
      </c>
      <c r="Y50" s="5"/>
      <c r="Z50" s="5"/>
      <c r="AA50" s="5"/>
    </row>
    <row r="51" spans="1:27" ht="54" customHeight="1">
      <c r="A51" s="21" t="s">
        <v>87</v>
      </c>
      <c r="B51" s="32" t="s">
        <v>88</v>
      </c>
      <c r="C51" s="32" t="s">
        <v>50</v>
      </c>
      <c r="D51" s="32" t="s">
        <v>111</v>
      </c>
      <c r="E51" s="32" t="s">
        <v>104</v>
      </c>
      <c r="F51" s="32" t="s">
        <v>110</v>
      </c>
      <c r="G51" s="32" t="s">
        <v>54</v>
      </c>
      <c r="H51" s="32" t="s">
        <v>92</v>
      </c>
      <c r="I51" s="32" t="s">
        <v>63</v>
      </c>
      <c r="J51" s="43">
        <v>4</v>
      </c>
      <c r="K51" s="33">
        <v>200000</v>
      </c>
      <c r="L51" s="34">
        <v>0</v>
      </c>
      <c r="M51" s="34">
        <v>0</v>
      </c>
      <c r="N51" s="35">
        <f t="shared" si="8"/>
        <v>200000</v>
      </c>
      <c r="O51" s="35"/>
      <c r="P51" s="35"/>
      <c r="Q51" s="35"/>
      <c r="R51" s="35">
        <f t="shared" si="9"/>
        <v>200000</v>
      </c>
      <c r="S51" s="36">
        <v>200000</v>
      </c>
      <c r="T51" s="37">
        <f t="shared" si="10"/>
        <v>1</v>
      </c>
      <c r="U51" s="45">
        <v>0</v>
      </c>
      <c r="V51" s="37">
        <f t="shared" si="11"/>
        <v>0</v>
      </c>
      <c r="W51" s="34">
        <v>0</v>
      </c>
      <c r="X51" s="37">
        <f t="shared" si="12"/>
        <v>0</v>
      </c>
      <c r="Y51" s="5"/>
      <c r="Z51" s="5"/>
      <c r="AA51" s="5"/>
    </row>
    <row r="52" spans="1:27" ht="54" customHeight="1">
      <c r="A52" s="21" t="s">
        <v>87</v>
      </c>
      <c r="B52" s="32" t="s">
        <v>88</v>
      </c>
      <c r="C52" s="32" t="s">
        <v>50</v>
      </c>
      <c r="D52" s="32" t="s">
        <v>61</v>
      </c>
      <c r="E52" s="32" t="s">
        <v>104</v>
      </c>
      <c r="F52" s="32" t="s">
        <v>62</v>
      </c>
      <c r="G52" s="32" t="s">
        <v>54</v>
      </c>
      <c r="H52" s="32" t="s">
        <v>112</v>
      </c>
      <c r="I52" s="32" t="s">
        <v>63</v>
      </c>
      <c r="J52" s="23">
        <v>3</v>
      </c>
      <c r="K52" s="33">
        <v>300000</v>
      </c>
      <c r="L52" s="34">
        <v>10000</v>
      </c>
      <c r="M52" s="34">
        <v>10000</v>
      </c>
      <c r="N52" s="35">
        <f t="shared" si="8"/>
        <v>300000</v>
      </c>
      <c r="O52" s="35"/>
      <c r="P52" s="35"/>
      <c r="Q52" s="35"/>
      <c r="R52" s="35">
        <f t="shared" si="9"/>
        <v>300000</v>
      </c>
      <c r="S52" s="36">
        <v>0</v>
      </c>
      <c r="T52" s="37">
        <f t="shared" si="10"/>
        <v>0</v>
      </c>
      <c r="U52" s="53">
        <v>0</v>
      </c>
      <c r="V52" s="37">
        <f t="shared" si="11"/>
        <v>0</v>
      </c>
      <c r="W52" s="34">
        <v>0</v>
      </c>
      <c r="X52" s="37">
        <f t="shared" si="12"/>
        <v>0</v>
      </c>
      <c r="Y52" s="5"/>
      <c r="Z52" s="5"/>
      <c r="AA52" s="5"/>
    </row>
    <row r="53" spans="1:27" ht="54" customHeight="1">
      <c r="A53" s="21" t="s">
        <v>87</v>
      </c>
      <c r="B53" s="22" t="s">
        <v>88</v>
      </c>
      <c r="C53" s="22" t="s">
        <v>50</v>
      </c>
      <c r="D53" s="22" t="s">
        <v>64</v>
      </c>
      <c r="E53" s="32" t="s">
        <v>104</v>
      </c>
      <c r="F53" s="32" t="s">
        <v>66</v>
      </c>
      <c r="G53" s="22" t="s">
        <v>54</v>
      </c>
      <c r="H53" s="22" t="s">
        <v>92</v>
      </c>
      <c r="I53" s="22" t="s">
        <v>63</v>
      </c>
      <c r="J53" s="23">
        <v>3</v>
      </c>
      <c r="K53" s="33">
        <v>20000</v>
      </c>
      <c r="L53" s="24">
        <v>0</v>
      </c>
      <c r="M53" s="24">
        <v>0</v>
      </c>
      <c r="N53" s="25">
        <f t="shared" si="8"/>
        <v>20000</v>
      </c>
      <c r="O53" s="25"/>
      <c r="P53" s="25"/>
      <c r="Q53" s="25"/>
      <c r="R53" s="25">
        <f t="shared" si="9"/>
        <v>20000</v>
      </c>
      <c r="S53" s="36">
        <v>0</v>
      </c>
      <c r="T53" s="27">
        <f t="shared" si="10"/>
        <v>0</v>
      </c>
      <c r="U53" s="28">
        <v>0</v>
      </c>
      <c r="V53" s="27">
        <f t="shared" si="11"/>
        <v>0</v>
      </c>
      <c r="W53" s="24">
        <v>0</v>
      </c>
      <c r="X53" s="27">
        <f t="shared" si="12"/>
        <v>0</v>
      </c>
      <c r="Y53" s="5"/>
      <c r="Z53" s="5"/>
      <c r="AA53" s="5"/>
    </row>
    <row r="54" spans="1:27" ht="54" hidden="1" customHeight="1">
      <c r="A54" s="21" t="s">
        <v>87</v>
      </c>
      <c r="B54" s="22" t="s">
        <v>88</v>
      </c>
      <c r="C54" s="22" t="s">
        <v>50</v>
      </c>
      <c r="D54" s="22" t="s">
        <v>64</v>
      </c>
      <c r="E54" s="32" t="s">
        <v>104</v>
      </c>
      <c r="F54" s="32" t="s">
        <v>66</v>
      </c>
      <c r="G54" s="22" t="s">
        <v>54</v>
      </c>
      <c r="H54" s="22" t="s">
        <v>94</v>
      </c>
      <c r="I54" s="22" t="s">
        <v>63</v>
      </c>
      <c r="J54" s="23">
        <v>3</v>
      </c>
      <c r="K54" s="33"/>
      <c r="L54" s="24"/>
      <c r="M54" s="24"/>
      <c r="N54" s="25">
        <f t="shared" si="8"/>
        <v>0</v>
      </c>
      <c r="O54" s="25"/>
      <c r="P54" s="25"/>
      <c r="Q54" s="25"/>
      <c r="R54" s="25">
        <f t="shared" si="9"/>
        <v>0</v>
      </c>
      <c r="S54" s="36"/>
      <c r="T54" s="27">
        <f t="shared" si="10"/>
        <v>0</v>
      </c>
      <c r="U54" s="28"/>
      <c r="V54" s="27">
        <f t="shared" si="11"/>
        <v>0</v>
      </c>
      <c r="W54" s="24"/>
      <c r="X54" s="27">
        <f t="shared" si="12"/>
        <v>0</v>
      </c>
      <c r="Y54" s="5"/>
      <c r="Z54" s="5"/>
      <c r="AA54" s="5"/>
    </row>
    <row r="55" spans="1:27" ht="54" customHeight="1">
      <c r="A55" s="21" t="s">
        <v>87</v>
      </c>
      <c r="B55" s="22" t="s">
        <v>88</v>
      </c>
      <c r="C55" s="22" t="s">
        <v>50</v>
      </c>
      <c r="D55" s="22" t="s">
        <v>113</v>
      </c>
      <c r="E55" s="32" t="s">
        <v>104</v>
      </c>
      <c r="F55" s="32" t="s">
        <v>114</v>
      </c>
      <c r="G55" s="22" t="s">
        <v>54</v>
      </c>
      <c r="H55" s="22" t="s">
        <v>92</v>
      </c>
      <c r="I55" s="22" t="s">
        <v>63</v>
      </c>
      <c r="J55" s="23">
        <v>3</v>
      </c>
      <c r="K55" s="33">
        <f>9026663-K56</f>
        <v>8826663</v>
      </c>
      <c r="L55" s="24">
        <f>3254316.81-L56</f>
        <v>2694696.81</v>
      </c>
      <c r="M55" s="24">
        <f>91696.81</f>
        <v>91696.81</v>
      </c>
      <c r="N55" s="25">
        <f t="shared" si="8"/>
        <v>11429663</v>
      </c>
      <c r="O55" s="25"/>
      <c r="P55" s="25"/>
      <c r="Q55" s="25"/>
      <c r="R55" s="25">
        <f t="shared" si="9"/>
        <v>11429663</v>
      </c>
      <c r="S55" s="24">
        <f>6983045.19</f>
        <v>6983045.1900000004</v>
      </c>
      <c r="T55" s="27">
        <f t="shared" si="10"/>
        <v>0.61095809998947481</v>
      </c>
      <c r="U55" s="28">
        <v>37015.29</v>
      </c>
      <c r="V55" s="27">
        <f t="shared" si="11"/>
        <v>3.2385285550413866E-3</v>
      </c>
      <c r="W55" s="24">
        <v>0</v>
      </c>
      <c r="X55" s="27">
        <f t="shared" si="12"/>
        <v>0</v>
      </c>
      <c r="Y55" s="5"/>
      <c r="Z55" s="5"/>
      <c r="AA55" s="5"/>
    </row>
    <row r="56" spans="1:27" ht="54" customHeight="1">
      <c r="A56" s="21" t="s">
        <v>87</v>
      </c>
      <c r="B56" s="22" t="s">
        <v>88</v>
      </c>
      <c r="C56" s="22" t="s">
        <v>50</v>
      </c>
      <c r="D56" s="22" t="s">
        <v>113</v>
      </c>
      <c r="E56" s="32" t="s">
        <v>104</v>
      </c>
      <c r="F56" s="32" t="s">
        <v>114</v>
      </c>
      <c r="G56" s="22" t="s">
        <v>54</v>
      </c>
      <c r="H56" s="22" t="s">
        <v>92</v>
      </c>
      <c r="I56" s="22" t="s">
        <v>63</v>
      </c>
      <c r="J56" s="43">
        <v>4</v>
      </c>
      <c r="K56" s="33">
        <v>200000</v>
      </c>
      <c r="L56" s="24">
        <v>559620</v>
      </c>
      <c r="M56" s="24">
        <v>0</v>
      </c>
      <c r="N56" s="25">
        <f t="shared" si="8"/>
        <v>759620</v>
      </c>
      <c r="O56" s="25"/>
      <c r="P56" s="25"/>
      <c r="Q56" s="25"/>
      <c r="R56" s="25">
        <f t="shared" si="9"/>
        <v>759620</v>
      </c>
      <c r="S56" s="24">
        <v>0</v>
      </c>
      <c r="T56" s="27">
        <f t="shared" si="10"/>
        <v>0</v>
      </c>
      <c r="U56" s="45">
        <v>0</v>
      </c>
      <c r="V56" s="27">
        <f t="shared" si="11"/>
        <v>0</v>
      </c>
      <c r="W56" s="24">
        <v>0</v>
      </c>
      <c r="X56" s="27">
        <f t="shared" si="12"/>
        <v>0</v>
      </c>
      <c r="Y56" s="5"/>
      <c r="Z56" s="5"/>
      <c r="AA56" s="5"/>
    </row>
    <row r="57" spans="1:27" ht="54" hidden="1" customHeight="1">
      <c r="A57" s="21" t="s">
        <v>87</v>
      </c>
      <c r="B57" s="22" t="s">
        <v>88</v>
      </c>
      <c r="C57" s="22" t="s">
        <v>50</v>
      </c>
      <c r="D57" s="22" t="s">
        <v>113</v>
      </c>
      <c r="E57" s="32" t="s">
        <v>104</v>
      </c>
      <c r="F57" s="32" t="s">
        <v>114</v>
      </c>
      <c r="G57" s="22" t="s">
        <v>54</v>
      </c>
      <c r="H57" s="22" t="s">
        <v>94</v>
      </c>
      <c r="I57" s="22" t="s">
        <v>63</v>
      </c>
      <c r="J57" s="23">
        <v>3</v>
      </c>
      <c r="K57" s="33"/>
      <c r="L57" s="24"/>
      <c r="M57" s="24"/>
      <c r="N57" s="25">
        <f t="shared" si="8"/>
        <v>0</v>
      </c>
      <c r="O57" s="25"/>
      <c r="P57" s="25"/>
      <c r="Q57" s="25"/>
      <c r="R57" s="25">
        <f t="shared" si="9"/>
        <v>0</v>
      </c>
      <c r="S57" s="34"/>
      <c r="T57" s="27">
        <f t="shared" si="10"/>
        <v>0</v>
      </c>
      <c r="U57" s="28"/>
      <c r="V57" s="27">
        <f t="shared" si="11"/>
        <v>0</v>
      </c>
      <c r="W57" s="24"/>
      <c r="X57" s="27">
        <f t="shared" si="12"/>
        <v>0</v>
      </c>
      <c r="Y57" s="5"/>
      <c r="Z57" s="5"/>
      <c r="AA57" s="5"/>
    </row>
    <row r="58" spans="1:27" ht="54" hidden="1" customHeight="1">
      <c r="A58" s="21" t="s">
        <v>87</v>
      </c>
      <c r="B58" s="22" t="s">
        <v>88</v>
      </c>
      <c r="C58" s="22" t="s">
        <v>50</v>
      </c>
      <c r="D58" s="22" t="s">
        <v>113</v>
      </c>
      <c r="E58" s="32" t="s">
        <v>104</v>
      </c>
      <c r="F58" s="32" t="s">
        <v>114</v>
      </c>
      <c r="G58" s="22" t="s">
        <v>54</v>
      </c>
      <c r="H58" s="22" t="s">
        <v>94</v>
      </c>
      <c r="I58" s="22" t="s">
        <v>63</v>
      </c>
      <c r="J58" s="43">
        <v>4</v>
      </c>
      <c r="K58" s="33"/>
      <c r="L58" s="24"/>
      <c r="M58" s="24"/>
      <c r="N58" s="25">
        <f t="shared" si="8"/>
        <v>0</v>
      </c>
      <c r="O58" s="25"/>
      <c r="P58" s="25"/>
      <c r="Q58" s="25"/>
      <c r="R58" s="25">
        <f t="shared" si="9"/>
        <v>0</v>
      </c>
      <c r="S58" s="34"/>
      <c r="T58" s="27">
        <f t="shared" si="10"/>
        <v>0</v>
      </c>
      <c r="U58" s="45"/>
      <c r="V58" s="27">
        <f t="shared" si="11"/>
        <v>0</v>
      </c>
      <c r="W58" s="24"/>
      <c r="X58" s="27">
        <f t="shared" si="12"/>
        <v>0</v>
      </c>
      <c r="Y58" s="5"/>
      <c r="Z58" s="5"/>
      <c r="AA58" s="5"/>
    </row>
    <row r="59" spans="1:27" ht="63" hidden="1" customHeight="1">
      <c r="A59" s="21" t="s">
        <v>87</v>
      </c>
      <c r="B59" s="22" t="s">
        <v>88</v>
      </c>
      <c r="C59" s="22" t="s">
        <v>50</v>
      </c>
      <c r="D59" s="22" t="s">
        <v>113</v>
      </c>
      <c r="E59" s="32" t="s">
        <v>65</v>
      </c>
      <c r="F59" s="32" t="s">
        <v>114</v>
      </c>
      <c r="G59" s="22" t="s">
        <v>54</v>
      </c>
      <c r="H59" s="22" t="s">
        <v>115</v>
      </c>
      <c r="I59" s="22" t="s">
        <v>56</v>
      </c>
      <c r="J59" s="23">
        <v>3</v>
      </c>
      <c r="K59" s="33"/>
      <c r="L59" s="24"/>
      <c r="M59" s="24"/>
      <c r="N59" s="25">
        <f t="shared" si="8"/>
        <v>0</v>
      </c>
      <c r="O59" s="25"/>
      <c r="P59" s="25"/>
      <c r="Q59" s="25"/>
      <c r="R59" s="25">
        <f t="shared" si="9"/>
        <v>0</v>
      </c>
      <c r="S59" s="34"/>
      <c r="T59" s="27">
        <f t="shared" si="10"/>
        <v>0</v>
      </c>
      <c r="U59" s="28"/>
      <c r="V59" s="27">
        <f t="shared" si="11"/>
        <v>0</v>
      </c>
      <c r="W59" s="24"/>
      <c r="X59" s="27">
        <f t="shared" si="12"/>
        <v>0</v>
      </c>
      <c r="Y59" s="5"/>
      <c r="Z59" s="5"/>
      <c r="AA59" s="5"/>
    </row>
    <row r="60" spans="1:27" ht="63" customHeight="1">
      <c r="A60" s="21" t="s">
        <v>87</v>
      </c>
      <c r="B60" s="22" t="s">
        <v>88</v>
      </c>
      <c r="C60" s="22" t="s">
        <v>50</v>
      </c>
      <c r="D60" s="22" t="s">
        <v>116</v>
      </c>
      <c r="E60" s="32" t="s">
        <v>65</v>
      </c>
      <c r="F60" s="22" t="s">
        <v>117</v>
      </c>
      <c r="G60" s="22" t="s">
        <v>54</v>
      </c>
      <c r="H60" s="22" t="s">
        <v>92</v>
      </c>
      <c r="I60" s="22" t="s">
        <v>56</v>
      </c>
      <c r="J60" s="23">
        <v>3</v>
      </c>
      <c r="K60" s="33">
        <v>300000</v>
      </c>
      <c r="L60" s="24">
        <v>0</v>
      </c>
      <c r="M60" s="24">
        <v>0</v>
      </c>
      <c r="N60" s="25">
        <f t="shared" si="8"/>
        <v>300000</v>
      </c>
      <c r="O60" s="25"/>
      <c r="P60" s="25"/>
      <c r="Q60" s="25"/>
      <c r="R60" s="25">
        <f t="shared" si="9"/>
        <v>300000</v>
      </c>
      <c r="S60" s="34">
        <v>0</v>
      </c>
      <c r="T60" s="27">
        <f t="shared" si="10"/>
        <v>0</v>
      </c>
      <c r="U60" s="28">
        <v>0</v>
      </c>
      <c r="V60" s="27">
        <f t="shared" si="11"/>
        <v>0</v>
      </c>
      <c r="W60" s="24">
        <v>0</v>
      </c>
      <c r="X60" s="27">
        <f t="shared" si="12"/>
        <v>0</v>
      </c>
      <c r="Y60" s="5"/>
      <c r="Z60" s="5"/>
      <c r="AA60" s="5"/>
    </row>
    <row r="61" spans="1:27" ht="63" customHeight="1">
      <c r="A61" s="21" t="s">
        <v>87</v>
      </c>
      <c r="B61" s="22" t="s">
        <v>88</v>
      </c>
      <c r="C61" s="22" t="s">
        <v>50</v>
      </c>
      <c r="D61" s="22" t="s">
        <v>71</v>
      </c>
      <c r="E61" s="32" t="s">
        <v>65</v>
      </c>
      <c r="F61" s="22" t="s">
        <v>72</v>
      </c>
      <c r="G61" s="22" t="s">
        <v>54</v>
      </c>
      <c r="H61" s="22" t="s">
        <v>92</v>
      </c>
      <c r="I61" s="22" t="s">
        <v>56</v>
      </c>
      <c r="J61" s="23">
        <v>3</v>
      </c>
      <c r="K61" s="33">
        <v>15000</v>
      </c>
      <c r="L61" s="24">
        <v>0</v>
      </c>
      <c r="M61" s="24">
        <v>0</v>
      </c>
      <c r="N61" s="25">
        <f t="shared" si="8"/>
        <v>15000</v>
      </c>
      <c r="O61" s="25"/>
      <c r="P61" s="25"/>
      <c r="Q61" s="25"/>
      <c r="R61" s="25">
        <f t="shared" si="9"/>
        <v>15000</v>
      </c>
      <c r="S61" s="34">
        <v>0</v>
      </c>
      <c r="T61" s="27">
        <f t="shared" si="10"/>
        <v>0</v>
      </c>
      <c r="U61" s="54">
        <v>0</v>
      </c>
      <c r="V61" s="27">
        <f t="shared" si="11"/>
        <v>0</v>
      </c>
      <c r="W61" s="24">
        <v>0</v>
      </c>
      <c r="X61" s="27">
        <f t="shared" si="12"/>
        <v>0</v>
      </c>
      <c r="Y61" s="5"/>
      <c r="Z61" s="5"/>
      <c r="AA61" s="5"/>
    </row>
    <row r="62" spans="1:27" ht="63" hidden="1" customHeight="1">
      <c r="A62" s="21" t="s">
        <v>87</v>
      </c>
      <c r="B62" s="22" t="s">
        <v>88</v>
      </c>
      <c r="C62" s="22" t="s">
        <v>50</v>
      </c>
      <c r="D62" s="22" t="s">
        <v>71</v>
      </c>
      <c r="E62" s="32" t="s">
        <v>65</v>
      </c>
      <c r="F62" s="22" t="s">
        <v>72</v>
      </c>
      <c r="G62" s="22" t="s">
        <v>54</v>
      </c>
      <c r="H62" s="22" t="s">
        <v>94</v>
      </c>
      <c r="I62" s="22" t="s">
        <v>56</v>
      </c>
      <c r="J62" s="23">
        <v>3</v>
      </c>
      <c r="K62" s="33"/>
      <c r="L62" s="24"/>
      <c r="M62" s="24"/>
      <c r="N62" s="25">
        <f t="shared" si="8"/>
        <v>0</v>
      </c>
      <c r="O62" s="25"/>
      <c r="P62" s="25"/>
      <c r="Q62" s="25"/>
      <c r="R62" s="25">
        <f t="shared" si="9"/>
        <v>0</v>
      </c>
      <c r="S62" s="34"/>
      <c r="T62" s="27">
        <f t="shared" si="10"/>
        <v>0</v>
      </c>
      <c r="U62" s="28"/>
      <c r="V62" s="27">
        <f t="shared" si="11"/>
        <v>0</v>
      </c>
      <c r="W62" s="24"/>
      <c r="X62" s="27">
        <f t="shared" si="12"/>
        <v>0</v>
      </c>
      <c r="Y62" s="5"/>
      <c r="Z62" s="5"/>
      <c r="AA62" s="5"/>
    </row>
    <row r="63" spans="1:27" ht="63" customHeight="1">
      <c r="A63" s="21" t="s">
        <v>87</v>
      </c>
      <c r="B63" s="22" t="s">
        <v>88</v>
      </c>
      <c r="C63" s="22" t="s">
        <v>118</v>
      </c>
      <c r="D63" s="55" t="s">
        <v>119</v>
      </c>
      <c r="E63" s="32" t="s">
        <v>65</v>
      </c>
      <c r="F63" s="22" t="s">
        <v>120</v>
      </c>
      <c r="G63" s="22" t="s">
        <v>54</v>
      </c>
      <c r="H63" s="22" t="s">
        <v>92</v>
      </c>
      <c r="I63" s="22" t="s">
        <v>56</v>
      </c>
      <c r="J63" s="23">
        <v>3</v>
      </c>
      <c r="K63" s="33">
        <f>18113000-K64</f>
        <v>15720000</v>
      </c>
      <c r="L63" s="24">
        <v>0</v>
      </c>
      <c r="M63" s="24">
        <v>0</v>
      </c>
      <c r="N63" s="25">
        <f t="shared" si="8"/>
        <v>15720000</v>
      </c>
      <c r="O63" s="25"/>
      <c r="P63" s="25"/>
      <c r="Q63" s="25"/>
      <c r="R63" s="25">
        <f t="shared" si="9"/>
        <v>15720000</v>
      </c>
      <c r="S63" s="34">
        <f>7719401.45</f>
        <v>7719401.4500000002</v>
      </c>
      <c r="T63" s="27">
        <f t="shared" si="10"/>
        <v>0.49105607188295164</v>
      </c>
      <c r="U63" s="28">
        <v>0</v>
      </c>
      <c r="V63" s="27">
        <f t="shared" si="11"/>
        <v>0</v>
      </c>
      <c r="W63" s="24">
        <v>0</v>
      </c>
      <c r="X63" s="27">
        <f t="shared" si="12"/>
        <v>0</v>
      </c>
      <c r="Y63" s="5"/>
      <c r="Z63" s="5"/>
      <c r="AA63" s="5"/>
    </row>
    <row r="64" spans="1:27" ht="63" customHeight="1">
      <c r="A64" s="21" t="s">
        <v>87</v>
      </c>
      <c r="B64" s="22" t="s">
        <v>88</v>
      </c>
      <c r="C64" s="22" t="s">
        <v>118</v>
      </c>
      <c r="D64" s="55" t="s">
        <v>119</v>
      </c>
      <c r="E64" s="32" t="s">
        <v>65</v>
      </c>
      <c r="F64" s="22" t="s">
        <v>120</v>
      </c>
      <c r="G64" s="22" t="s">
        <v>54</v>
      </c>
      <c r="H64" s="22" t="s">
        <v>92</v>
      </c>
      <c r="I64" s="22" t="s">
        <v>56</v>
      </c>
      <c r="J64" s="43">
        <v>4</v>
      </c>
      <c r="K64" s="33">
        <v>2393000</v>
      </c>
      <c r="L64" s="24">
        <v>0</v>
      </c>
      <c r="M64" s="24">
        <v>1292820</v>
      </c>
      <c r="N64" s="25">
        <f t="shared" si="8"/>
        <v>1100180</v>
      </c>
      <c r="O64" s="25"/>
      <c r="P64" s="25"/>
      <c r="Q64" s="25"/>
      <c r="R64" s="25">
        <f t="shared" si="9"/>
        <v>1100180</v>
      </c>
      <c r="S64" s="34">
        <v>0</v>
      </c>
      <c r="T64" s="27">
        <f t="shared" si="10"/>
        <v>0</v>
      </c>
      <c r="U64" s="45">
        <v>0</v>
      </c>
      <c r="V64" s="27">
        <f t="shared" si="11"/>
        <v>0</v>
      </c>
      <c r="W64" s="24">
        <v>0</v>
      </c>
      <c r="X64" s="27">
        <f t="shared" si="12"/>
        <v>0</v>
      </c>
      <c r="Y64" s="5"/>
      <c r="Z64" s="5"/>
      <c r="AA64" s="5"/>
    </row>
    <row r="65" spans="1:27" ht="63" hidden="1" customHeight="1">
      <c r="A65" s="21" t="s">
        <v>87</v>
      </c>
      <c r="B65" s="22" t="s">
        <v>88</v>
      </c>
      <c r="C65" s="22" t="s">
        <v>118</v>
      </c>
      <c r="D65" s="22" t="s">
        <v>119</v>
      </c>
      <c r="E65" s="32" t="s">
        <v>65</v>
      </c>
      <c r="F65" s="22" t="s">
        <v>120</v>
      </c>
      <c r="G65" s="22" t="s">
        <v>54</v>
      </c>
      <c r="H65" s="22" t="s">
        <v>94</v>
      </c>
      <c r="I65" s="22" t="s">
        <v>56</v>
      </c>
      <c r="J65" s="23">
        <v>3</v>
      </c>
      <c r="K65" s="33"/>
      <c r="L65" s="24"/>
      <c r="M65" s="24"/>
      <c r="N65" s="25">
        <f t="shared" si="8"/>
        <v>0</v>
      </c>
      <c r="O65" s="25"/>
      <c r="P65" s="25"/>
      <c r="Q65" s="25"/>
      <c r="R65" s="25">
        <f t="shared" si="9"/>
        <v>0</v>
      </c>
      <c r="S65" s="34"/>
      <c r="T65" s="27">
        <f t="shared" si="10"/>
        <v>0</v>
      </c>
      <c r="U65" s="28"/>
      <c r="V65" s="27">
        <f t="shared" si="11"/>
        <v>0</v>
      </c>
      <c r="W65" s="24"/>
      <c r="X65" s="27">
        <f t="shared" si="12"/>
        <v>0</v>
      </c>
      <c r="Y65" s="5"/>
      <c r="Z65" s="5"/>
      <c r="AA65" s="5"/>
    </row>
    <row r="66" spans="1:27" ht="63" hidden="1" customHeight="1">
      <c r="A66" s="21" t="s">
        <v>87</v>
      </c>
      <c r="B66" s="22" t="s">
        <v>88</v>
      </c>
      <c r="C66" s="22" t="s">
        <v>118</v>
      </c>
      <c r="D66" s="22" t="s">
        <v>119</v>
      </c>
      <c r="E66" s="32" t="s">
        <v>65</v>
      </c>
      <c r="F66" s="22" t="s">
        <v>120</v>
      </c>
      <c r="G66" s="22" t="s">
        <v>54</v>
      </c>
      <c r="H66" s="22" t="s">
        <v>94</v>
      </c>
      <c r="I66" s="22" t="s">
        <v>56</v>
      </c>
      <c r="J66" s="43">
        <v>4</v>
      </c>
      <c r="K66" s="33"/>
      <c r="L66" s="24"/>
      <c r="M66" s="24"/>
      <c r="N66" s="25">
        <f t="shared" si="8"/>
        <v>0</v>
      </c>
      <c r="O66" s="25"/>
      <c r="P66" s="25"/>
      <c r="Q66" s="25"/>
      <c r="R66" s="25">
        <f t="shared" si="9"/>
        <v>0</v>
      </c>
      <c r="S66" s="34"/>
      <c r="T66" s="27">
        <f t="shared" si="10"/>
        <v>0</v>
      </c>
      <c r="U66" s="45"/>
      <c r="V66" s="27">
        <f t="shared" si="11"/>
        <v>0</v>
      </c>
      <c r="W66" s="24"/>
      <c r="X66" s="27">
        <f t="shared" si="12"/>
        <v>0</v>
      </c>
      <c r="Y66" s="5"/>
      <c r="Z66" s="5"/>
      <c r="AA66" s="5"/>
    </row>
    <row r="67" spans="1:27" ht="63" customHeight="1">
      <c r="A67" s="21" t="s">
        <v>87</v>
      </c>
      <c r="B67" s="22" t="s">
        <v>88</v>
      </c>
      <c r="C67" s="22" t="s">
        <v>118</v>
      </c>
      <c r="D67" s="22" t="s">
        <v>121</v>
      </c>
      <c r="E67" s="32" t="s">
        <v>65</v>
      </c>
      <c r="F67" s="22" t="s">
        <v>122</v>
      </c>
      <c r="G67" s="22" t="s">
        <v>54</v>
      </c>
      <c r="H67" s="22" t="s">
        <v>92</v>
      </c>
      <c r="I67" s="22" t="s">
        <v>56</v>
      </c>
      <c r="J67" s="23">
        <v>3</v>
      </c>
      <c r="K67" s="33">
        <f>5300000-K68</f>
        <v>4400000</v>
      </c>
      <c r="L67" s="24">
        <v>0</v>
      </c>
      <c r="M67" s="24">
        <v>0</v>
      </c>
      <c r="N67" s="25">
        <f t="shared" si="8"/>
        <v>4400000</v>
      </c>
      <c r="O67" s="25"/>
      <c r="P67" s="25"/>
      <c r="Q67" s="25"/>
      <c r="R67" s="25">
        <f t="shared" si="9"/>
        <v>4400000</v>
      </c>
      <c r="S67" s="34">
        <v>2210915.69</v>
      </c>
      <c r="T67" s="27">
        <f t="shared" si="10"/>
        <v>0.50248083863636361</v>
      </c>
      <c r="U67" s="28">
        <v>0</v>
      </c>
      <c r="V67" s="27">
        <f t="shared" si="11"/>
        <v>0</v>
      </c>
      <c r="W67" s="24">
        <v>0</v>
      </c>
      <c r="X67" s="27">
        <f t="shared" si="12"/>
        <v>0</v>
      </c>
      <c r="Y67" s="5"/>
      <c r="Z67" s="5"/>
      <c r="AA67" s="5"/>
    </row>
    <row r="68" spans="1:27" ht="63" customHeight="1">
      <c r="A68" s="21" t="s">
        <v>87</v>
      </c>
      <c r="B68" s="22" t="s">
        <v>88</v>
      </c>
      <c r="C68" s="22" t="s">
        <v>118</v>
      </c>
      <c r="D68" s="22" t="s">
        <v>121</v>
      </c>
      <c r="E68" s="32" t="s">
        <v>65</v>
      </c>
      <c r="F68" s="22" t="s">
        <v>122</v>
      </c>
      <c r="G68" s="22" t="s">
        <v>54</v>
      </c>
      <c r="H68" s="22" t="s">
        <v>92</v>
      </c>
      <c r="I68" s="22" t="s">
        <v>56</v>
      </c>
      <c r="J68" s="43">
        <v>4</v>
      </c>
      <c r="K68" s="33">
        <v>900000</v>
      </c>
      <c r="L68" s="24">
        <v>0</v>
      </c>
      <c r="M68" s="24">
        <v>616800</v>
      </c>
      <c r="N68" s="25">
        <f t="shared" si="8"/>
        <v>283200</v>
      </c>
      <c r="O68" s="25"/>
      <c r="P68" s="25"/>
      <c r="Q68" s="25"/>
      <c r="R68" s="25">
        <f t="shared" si="9"/>
        <v>283200</v>
      </c>
      <c r="S68" s="34">
        <v>0</v>
      </c>
      <c r="T68" s="27">
        <f t="shared" si="10"/>
        <v>0</v>
      </c>
      <c r="U68" s="45">
        <v>0</v>
      </c>
      <c r="V68" s="27">
        <f t="shared" si="11"/>
        <v>0</v>
      </c>
      <c r="W68" s="24">
        <v>0</v>
      </c>
      <c r="X68" s="27">
        <f t="shared" si="12"/>
        <v>0</v>
      </c>
      <c r="Y68" s="5"/>
      <c r="Z68" s="5"/>
      <c r="AA68" s="5"/>
    </row>
    <row r="69" spans="1:27" ht="63" hidden="1" customHeight="1">
      <c r="A69" s="21" t="s">
        <v>87</v>
      </c>
      <c r="B69" s="22" t="s">
        <v>88</v>
      </c>
      <c r="C69" s="22" t="s">
        <v>118</v>
      </c>
      <c r="D69" s="22" t="s">
        <v>121</v>
      </c>
      <c r="E69" s="32" t="s">
        <v>65</v>
      </c>
      <c r="F69" s="22" t="s">
        <v>122</v>
      </c>
      <c r="G69" s="22" t="s">
        <v>54</v>
      </c>
      <c r="H69" s="22" t="s">
        <v>94</v>
      </c>
      <c r="I69" s="22" t="s">
        <v>56</v>
      </c>
      <c r="J69" s="43">
        <v>4</v>
      </c>
      <c r="K69" s="33"/>
      <c r="L69" s="24"/>
      <c r="M69" s="24"/>
      <c r="N69" s="25">
        <f t="shared" si="8"/>
        <v>0</v>
      </c>
      <c r="O69" s="25"/>
      <c r="P69" s="25"/>
      <c r="Q69" s="25"/>
      <c r="R69" s="25">
        <f t="shared" si="9"/>
        <v>0</v>
      </c>
      <c r="S69" s="34"/>
      <c r="T69" s="27">
        <f t="shared" si="10"/>
        <v>0</v>
      </c>
      <c r="U69" s="45"/>
      <c r="V69" s="27">
        <f t="shared" si="11"/>
        <v>0</v>
      </c>
      <c r="W69" s="24"/>
      <c r="X69" s="27">
        <f t="shared" si="12"/>
        <v>0</v>
      </c>
      <c r="Y69" s="5"/>
      <c r="Z69" s="5"/>
      <c r="AA69" s="5"/>
    </row>
    <row r="70" spans="1:27" ht="63" customHeight="1">
      <c r="A70" s="21" t="s">
        <v>87</v>
      </c>
      <c r="B70" s="22" t="s">
        <v>88</v>
      </c>
      <c r="C70" s="22" t="s">
        <v>76</v>
      </c>
      <c r="D70" s="22" t="s">
        <v>77</v>
      </c>
      <c r="E70" s="32" t="s">
        <v>65</v>
      </c>
      <c r="F70" s="22" t="s">
        <v>123</v>
      </c>
      <c r="G70" s="22" t="s">
        <v>54</v>
      </c>
      <c r="H70" s="22" t="s">
        <v>92</v>
      </c>
      <c r="I70" s="22" t="s">
        <v>56</v>
      </c>
      <c r="J70" s="23">
        <v>3</v>
      </c>
      <c r="K70" s="33">
        <v>0</v>
      </c>
      <c r="L70" s="24">
        <v>1350000</v>
      </c>
      <c r="M70" s="24">
        <v>0</v>
      </c>
      <c r="N70" s="25">
        <f t="shared" si="8"/>
        <v>1350000</v>
      </c>
      <c r="O70" s="25"/>
      <c r="P70" s="25"/>
      <c r="Q70" s="25"/>
      <c r="R70" s="25">
        <f t="shared" si="9"/>
        <v>1350000</v>
      </c>
      <c r="S70" s="34">
        <v>0</v>
      </c>
      <c r="T70" s="27">
        <f t="shared" si="10"/>
        <v>0</v>
      </c>
      <c r="U70" s="28">
        <v>0</v>
      </c>
      <c r="V70" s="27">
        <f t="shared" si="11"/>
        <v>0</v>
      </c>
      <c r="W70" s="24">
        <v>0</v>
      </c>
      <c r="X70" s="27">
        <f t="shared" si="12"/>
        <v>0</v>
      </c>
      <c r="Y70" s="5"/>
      <c r="Z70" s="5"/>
      <c r="AA70" s="5"/>
    </row>
    <row r="71" spans="1:27" ht="63" customHeight="1">
      <c r="A71" s="21" t="s">
        <v>87</v>
      </c>
      <c r="B71" s="22" t="s">
        <v>88</v>
      </c>
      <c r="C71" s="22" t="s">
        <v>76</v>
      </c>
      <c r="D71" s="22" t="s">
        <v>77</v>
      </c>
      <c r="E71" s="32" t="s">
        <v>65</v>
      </c>
      <c r="F71" s="22" t="s">
        <v>123</v>
      </c>
      <c r="G71" s="22" t="s">
        <v>54</v>
      </c>
      <c r="H71" s="22" t="s">
        <v>112</v>
      </c>
      <c r="I71" s="22" t="s">
        <v>56</v>
      </c>
      <c r="J71" s="23">
        <v>3</v>
      </c>
      <c r="K71" s="33">
        <v>300000</v>
      </c>
      <c r="L71" s="24">
        <v>0</v>
      </c>
      <c r="M71" s="24">
        <v>0</v>
      </c>
      <c r="N71" s="25">
        <f t="shared" si="8"/>
        <v>300000</v>
      </c>
      <c r="O71" s="25"/>
      <c r="P71" s="25"/>
      <c r="Q71" s="25"/>
      <c r="R71" s="25">
        <f t="shared" si="9"/>
        <v>300000</v>
      </c>
      <c r="S71" s="34">
        <v>19050</v>
      </c>
      <c r="T71" s="27">
        <f t="shared" si="10"/>
        <v>6.3500000000000001E-2</v>
      </c>
      <c r="U71" s="28">
        <v>0</v>
      </c>
      <c r="V71" s="27">
        <f t="shared" si="11"/>
        <v>0</v>
      </c>
      <c r="W71" s="24">
        <v>0</v>
      </c>
      <c r="X71" s="27">
        <f t="shared" si="12"/>
        <v>0</v>
      </c>
      <c r="Y71" s="5"/>
      <c r="Z71" s="5"/>
      <c r="AA71" s="5"/>
    </row>
    <row r="72" spans="1:27" ht="15.75" customHeight="1">
      <c r="A72" s="142" t="s">
        <v>124</v>
      </c>
      <c r="B72" s="127"/>
      <c r="C72" s="127"/>
      <c r="D72" s="127"/>
      <c r="E72" s="127"/>
      <c r="F72" s="127"/>
      <c r="G72" s="127"/>
      <c r="H72" s="127"/>
      <c r="I72" s="127"/>
      <c r="J72" s="128"/>
      <c r="K72" s="38">
        <f t="shared" ref="K72:S72" si="13">SUM(K33:K71)</f>
        <v>83793000</v>
      </c>
      <c r="L72" s="38">
        <f t="shared" si="13"/>
        <v>6338026.1100000003</v>
      </c>
      <c r="M72" s="38">
        <f t="shared" si="13"/>
        <v>6338026.1099999994</v>
      </c>
      <c r="N72" s="38">
        <f t="shared" si="13"/>
        <v>83793000</v>
      </c>
      <c r="O72" s="38">
        <f t="shared" si="13"/>
        <v>0</v>
      </c>
      <c r="P72" s="38">
        <f t="shared" si="13"/>
        <v>0</v>
      </c>
      <c r="Q72" s="38">
        <f t="shared" si="13"/>
        <v>0</v>
      </c>
      <c r="R72" s="38">
        <f t="shared" si="13"/>
        <v>83793000</v>
      </c>
      <c r="S72" s="38">
        <f t="shared" si="13"/>
        <v>40623076.960000001</v>
      </c>
      <c r="T72" s="39">
        <f t="shared" si="10"/>
        <v>0.48480275154249164</v>
      </c>
      <c r="U72" s="38">
        <f>SUM(U33:U71)</f>
        <v>610498.49</v>
      </c>
      <c r="V72" s="39">
        <f t="shared" si="11"/>
        <v>7.285793443366391E-3</v>
      </c>
      <c r="W72" s="38">
        <f>SUM(W33:W71)</f>
        <v>0</v>
      </c>
      <c r="X72" s="39">
        <f t="shared" si="12"/>
        <v>0</v>
      </c>
      <c r="Y72" s="5"/>
      <c r="Z72" s="5"/>
      <c r="AA72" s="5"/>
    </row>
    <row r="73" spans="1:27" ht="15.75" customHeight="1">
      <c r="A73" s="143" t="s">
        <v>125</v>
      </c>
      <c r="B73" s="127"/>
      <c r="C73" s="127"/>
      <c r="D73" s="127"/>
      <c r="E73" s="127"/>
      <c r="F73" s="127"/>
      <c r="G73" s="127"/>
      <c r="H73" s="127"/>
      <c r="I73" s="127"/>
      <c r="J73" s="128"/>
      <c r="K73" s="56">
        <f t="shared" ref="K73:S73" si="14">SUM(K30+K72)</f>
        <v>953062000</v>
      </c>
      <c r="L73" s="56">
        <f t="shared" si="14"/>
        <v>26684283.140000001</v>
      </c>
      <c r="M73" s="56">
        <f t="shared" si="14"/>
        <v>26684283.140000001</v>
      </c>
      <c r="N73" s="56">
        <f t="shared" si="14"/>
        <v>953062000</v>
      </c>
      <c r="O73" s="56">
        <f t="shared" si="14"/>
        <v>0</v>
      </c>
      <c r="P73" s="56">
        <f t="shared" si="14"/>
        <v>0</v>
      </c>
      <c r="Q73" s="56">
        <f t="shared" si="14"/>
        <v>0</v>
      </c>
      <c r="R73" s="56">
        <f t="shared" si="14"/>
        <v>953062000</v>
      </c>
      <c r="S73" s="56">
        <f t="shared" si="14"/>
        <v>101103239.42</v>
      </c>
      <c r="T73" s="57">
        <f t="shared" si="10"/>
        <v>0.10608254176538358</v>
      </c>
      <c r="U73" s="56">
        <f>SUM(U30+U72)</f>
        <v>61051660.950000003</v>
      </c>
      <c r="V73" s="57">
        <f t="shared" si="11"/>
        <v>6.4058435810052231E-2</v>
      </c>
      <c r="W73" s="56">
        <f>SUM(W30+W72)</f>
        <v>60402318.43</v>
      </c>
      <c r="X73" s="57">
        <f t="shared" si="12"/>
        <v>6.3377113377723587E-2</v>
      </c>
      <c r="Y73" s="29"/>
      <c r="Z73" s="5"/>
      <c r="AA73" s="5"/>
    </row>
    <row r="74" spans="1:27" ht="14.25" customHeight="1">
      <c r="A74" s="58" t="s">
        <v>126</v>
      </c>
      <c r="B74" s="59"/>
      <c r="C74" s="59"/>
      <c r="D74" s="59"/>
      <c r="E74" s="59"/>
      <c r="F74" s="59"/>
      <c r="G74" s="59"/>
      <c r="H74" s="60"/>
      <c r="I74" s="60"/>
      <c r="J74" s="60"/>
      <c r="K74" s="59"/>
      <c r="L74" s="59"/>
      <c r="M74" s="61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5"/>
      <c r="Z74" s="5"/>
      <c r="AA74" s="5"/>
    </row>
    <row r="75" spans="1:27" ht="14.25" customHeight="1">
      <c r="A75" s="58" t="s">
        <v>127</v>
      </c>
      <c r="B75" s="63"/>
      <c r="C75" s="59"/>
      <c r="D75" s="59"/>
      <c r="E75" s="59"/>
      <c r="F75" s="59"/>
      <c r="G75" s="59"/>
      <c r="H75" s="60"/>
      <c r="I75" s="60"/>
      <c r="J75" s="60"/>
      <c r="K75" s="59"/>
      <c r="L75" s="59"/>
      <c r="M75" s="61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5"/>
      <c r="Z75" s="5"/>
      <c r="AA75" s="5"/>
    </row>
    <row r="76" spans="1:27" ht="14.25" customHeight="1">
      <c r="A76" s="144" t="s">
        <v>128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8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5"/>
      <c r="Z76" s="5"/>
      <c r="AA76" s="5"/>
    </row>
    <row r="77" spans="1:27" ht="14.25" customHeight="1">
      <c r="A77" s="6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2"/>
      <c r="O77" s="62"/>
      <c r="P77" s="62"/>
      <c r="Q77" s="5"/>
      <c r="R77" s="5"/>
      <c r="S77" s="5"/>
      <c r="T77" s="5"/>
      <c r="U77" s="5"/>
      <c r="V77" s="5"/>
      <c r="W77" s="5"/>
      <c r="X77" s="65"/>
      <c r="Y77" s="5"/>
      <c r="Z77" s="5"/>
      <c r="AA77" s="5"/>
    </row>
    <row r="78" spans="1:27" ht="14.25" customHeight="1">
      <c r="A78" s="145"/>
      <c r="B78" s="130"/>
      <c r="C78" s="130"/>
      <c r="D78" s="130"/>
      <c r="E78" s="130"/>
      <c r="F78" s="130"/>
      <c r="G78" s="130"/>
      <c r="H78" s="131"/>
      <c r="I78" s="5"/>
      <c r="J78" s="5"/>
      <c r="K78" s="5"/>
      <c r="L78" s="5"/>
      <c r="M78" s="5"/>
      <c r="N78" s="62"/>
      <c r="O78" s="62"/>
      <c r="P78" s="62"/>
      <c r="Q78" s="5"/>
      <c r="R78" s="5"/>
      <c r="S78" s="5"/>
      <c r="T78" s="5"/>
      <c r="U78" s="5"/>
      <c r="V78" s="5"/>
      <c r="W78" s="5"/>
      <c r="X78" s="65"/>
      <c r="Y78" s="5"/>
      <c r="Z78" s="5"/>
      <c r="AA78" s="5"/>
    </row>
    <row r="79" spans="1:27" ht="14.25" customHeight="1">
      <c r="A79" s="146"/>
      <c r="B79" s="133"/>
      <c r="C79" s="133"/>
      <c r="D79" s="133"/>
      <c r="E79" s="133"/>
      <c r="F79" s="133"/>
      <c r="G79" s="133"/>
      <c r="H79" s="147"/>
      <c r="I79" s="3"/>
      <c r="J79" s="3"/>
      <c r="K79" s="66"/>
      <c r="L79" s="66"/>
      <c r="M79" s="66"/>
      <c r="N79" s="66"/>
      <c r="O79" s="66"/>
      <c r="P79" s="66"/>
      <c r="Q79" s="5"/>
      <c r="R79" s="5"/>
      <c r="S79" s="5"/>
      <c r="T79" s="5"/>
      <c r="U79" s="5"/>
      <c r="V79" s="5"/>
      <c r="W79" s="5"/>
      <c r="X79" s="65"/>
      <c r="Y79" s="29"/>
      <c r="Z79" s="5"/>
      <c r="AA79" s="5"/>
    </row>
    <row r="80" spans="1:27" ht="14.25" customHeight="1">
      <c r="A80" s="148"/>
      <c r="B80" s="149"/>
      <c r="C80" s="149"/>
      <c r="D80" s="149"/>
      <c r="E80" s="149"/>
      <c r="F80" s="149"/>
      <c r="G80" s="149"/>
      <c r="H80" s="150"/>
      <c r="I80" s="3"/>
      <c r="J80" s="3"/>
      <c r="K80" s="66"/>
      <c r="L80" s="66"/>
      <c r="M80" s="66"/>
      <c r="N80" s="66"/>
      <c r="O80" s="66"/>
      <c r="P80" s="66"/>
      <c r="Q80" s="5"/>
      <c r="R80" s="5"/>
      <c r="S80" s="5"/>
      <c r="T80" s="5"/>
      <c r="U80" s="67"/>
      <c r="V80" s="5"/>
      <c r="W80" s="5"/>
      <c r="X80" s="65"/>
      <c r="Y80" s="29"/>
      <c r="Z80" s="5"/>
      <c r="AA80" s="5"/>
    </row>
    <row r="81" spans="1:27" ht="14.25" customHeight="1">
      <c r="A81" s="68"/>
      <c r="B81" s="68"/>
      <c r="C81" s="68"/>
      <c r="D81" s="62"/>
      <c r="E81" s="62"/>
      <c r="F81" s="62"/>
      <c r="G81" s="62"/>
      <c r="H81" s="3"/>
      <c r="I81" s="3"/>
      <c r="J81" s="3"/>
      <c r="K81" s="66"/>
      <c r="L81" s="66"/>
      <c r="M81" s="66"/>
      <c r="N81" s="66"/>
      <c r="O81" s="66"/>
      <c r="P81" s="66"/>
      <c r="Q81" s="5"/>
      <c r="R81" s="5"/>
      <c r="S81" s="5"/>
      <c r="T81" s="5"/>
      <c r="U81" s="67"/>
      <c r="V81" s="5"/>
      <c r="W81" s="5"/>
      <c r="X81" s="65"/>
      <c r="Y81" s="29"/>
      <c r="Z81" s="5"/>
      <c r="AA81" s="5"/>
    </row>
    <row r="82" spans="1:27" ht="14.25" customHeight="1">
      <c r="A82" s="68"/>
      <c r="B82" s="68"/>
      <c r="C82" s="68"/>
      <c r="D82" s="62"/>
      <c r="E82" s="62"/>
      <c r="F82" s="62"/>
      <c r="G82" s="62"/>
      <c r="H82" s="3"/>
      <c r="I82" s="3"/>
      <c r="J82" s="3"/>
      <c r="K82" s="66"/>
      <c r="L82" s="66"/>
      <c r="M82" s="66"/>
      <c r="N82" s="66"/>
      <c r="O82" s="66"/>
      <c r="P82" s="66"/>
      <c r="Q82" s="5"/>
      <c r="R82" s="5"/>
      <c r="S82" s="5"/>
      <c r="T82" s="5"/>
      <c r="U82" s="67"/>
      <c r="V82" s="5"/>
      <c r="W82" s="5"/>
      <c r="X82" s="65"/>
      <c r="Y82" s="29"/>
      <c r="Z82" s="5"/>
      <c r="AA82" s="5"/>
    </row>
    <row r="83" spans="1:27" ht="14.25" customHeight="1">
      <c r="A83" s="69"/>
      <c r="B83" s="69"/>
      <c r="C83" s="69"/>
      <c r="D83" s="69"/>
      <c r="E83" s="69"/>
      <c r="F83" s="69"/>
      <c r="G83" s="62"/>
      <c r="H83" s="3"/>
      <c r="I83" s="3"/>
      <c r="J83" s="3"/>
      <c r="K83" s="66"/>
      <c r="L83" s="62"/>
      <c r="M83" s="62"/>
      <c r="N83" s="62"/>
      <c r="O83" s="62"/>
      <c r="P83" s="62"/>
      <c r="Q83" s="5"/>
      <c r="R83" s="5"/>
      <c r="S83" s="5"/>
      <c r="T83" s="5"/>
      <c r="U83" s="67"/>
      <c r="V83" s="5"/>
      <c r="W83" s="5"/>
      <c r="X83" s="62"/>
      <c r="Y83" s="5"/>
      <c r="Z83" s="5"/>
      <c r="AA83" s="5"/>
    </row>
    <row r="84" spans="1:27" ht="14.25" customHeight="1">
      <c r="A84" s="69"/>
      <c r="B84" s="69"/>
      <c r="C84" s="69"/>
      <c r="D84" s="69"/>
      <c r="E84" s="69"/>
      <c r="F84" s="69"/>
      <c r="G84" s="62"/>
      <c r="H84" s="3"/>
      <c r="I84" s="3"/>
      <c r="J84" s="3"/>
      <c r="K84" s="66"/>
      <c r="L84" s="62"/>
      <c r="M84" s="62"/>
      <c r="N84" s="62"/>
      <c r="O84" s="62"/>
      <c r="P84" s="62"/>
      <c r="Q84" s="5"/>
      <c r="R84" s="5"/>
      <c r="S84" s="5"/>
      <c r="T84" s="5"/>
      <c r="U84" s="5"/>
      <c r="V84" s="5"/>
      <c r="W84" s="5"/>
      <c r="X84" s="62"/>
      <c r="Y84" s="5"/>
      <c r="Z84" s="5"/>
      <c r="AA84" s="5"/>
    </row>
    <row r="85" spans="1:27" ht="15.75" customHeight="1">
      <c r="A85" s="69"/>
      <c r="B85" s="69"/>
      <c r="C85" s="69"/>
      <c r="D85" s="69"/>
      <c r="E85" s="69"/>
      <c r="F85" s="69"/>
      <c r="G85" s="62"/>
      <c r="H85" s="3"/>
      <c r="I85" s="3"/>
      <c r="J85" s="3"/>
      <c r="K85" s="62"/>
      <c r="L85" s="62"/>
      <c r="M85" s="62"/>
      <c r="N85" s="62"/>
      <c r="O85" s="62"/>
      <c r="P85" s="62"/>
      <c r="Q85" s="70" t="s">
        <v>34</v>
      </c>
      <c r="R85" s="70"/>
      <c r="S85" s="71"/>
      <c r="T85" s="70" t="s">
        <v>35</v>
      </c>
      <c r="U85" s="70"/>
      <c r="V85" s="65"/>
      <c r="W85" s="72" t="s">
        <v>129</v>
      </c>
      <c r="X85" s="62"/>
      <c r="Y85" s="5"/>
      <c r="Z85" s="5"/>
      <c r="AA85" s="5"/>
    </row>
    <row r="86" spans="1:27" ht="14.25" customHeight="1">
      <c r="A86" s="69"/>
      <c r="B86" s="69"/>
      <c r="C86" s="69"/>
      <c r="D86" s="69"/>
      <c r="E86" s="69"/>
      <c r="F86" s="69"/>
      <c r="G86" s="62"/>
      <c r="H86" s="3"/>
      <c r="I86" s="3"/>
      <c r="J86" s="3"/>
      <c r="K86" s="73"/>
      <c r="L86" s="73"/>
      <c r="M86" s="73"/>
      <c r="N86" s="73"/>
      <c r="O86" s="73"/>
      <c r="P86" s="73"/>
      <c r="Q86" s="74">
        <v>1</v>
      </c>
      <c r="R86" s="75"/>
      <c r="S86" s="65"/>
      <c r="T86" s="76">
        <v>1</v>
      </c>
      <c r="U86" s="75">
        <f>U17+U18+U20+U21+U24+U25+U27+U28+U29</f>
        <v>51155369.280000001</v>
      </c>
      <c r="V86" s="65"/>
      <c r="W86" s="77">
        <f t="shared" ref="W86:W88" si="15">U86-R86</f>
        <v>51155369.280000001</v>
      </c>
      <c r="X86" s="62"/>
      <c r="Y86" s="67"/>
      <c r="Z86" s="5"/>
      <c r="AA86" s="5"/>
    </row>
    <row r="87" spans="1:27" ht="14.25" customHeight="1">
      <c r="A87" s="1"/>
      <c r="B87" s="78"/>
      <c r="C87" s="78"/>
      <c r="D87" s="78"/>
      <c r="E87" s="1"/>
      <c r="F87" s="1"/>
      <c r="G87" s="1"/>
      <c r="H87" s="2"/>
      <c r="I87" s="2"/>
      <c r="J87" s="3"/>
      <c r="K87" s="79"/>
      <c r="L87" s="79"/>
      <c r="M87" s="79"/>
      <c r="N87" s="79"/>
      <c r="O87" s="79"/>
      <c r="P87" s="79"/>
      <c r="Q87" s="80">
        <v>3</v>
      </c>
      <c r="R87" s="81"/>
      <c r="S87" s="82"/>
      <c r="T87" s="83">
        <v>3</v>
      </c>
      <c r="U87" s="81">
        <f>U15+U16+U19+U22+U23+U26+U34+U36+U40+U43+U45+U46+U47+U50+U52+U53+U54+U55+U57+U59+U60+U61+U62+U63+U65+U67+U70+U71</f>
        <v>9896291.6699999981</v>
      </c>
      <c r="V87" s="84"/>
      <c r="W87" s="85">
        <f t="shared" si="15"/>
        <v>9896291.6699999981</v>
      </c>
      <c r="X87" s="1"/>
      <c r="Y87" s="67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86">
        <v>4</v>
      </c>
      <c r="R88" s="87"/>
      <c r="S88" s="82"/>
      <c r="T88" s="88">
        <v>4</v>
      </c>
      <c r="U88" s="87">
        <f>U33+U35+U37+U39+U41+U42+U44+U48+U49+U51+U56+U58+U64+U66+U68+U69</f>
        <v>0</v>
      </c>
      <c r="V88" s="89"/>
      <c r="W88" s="90">
        <f t="shared" si="15"/>
        <v>0</v>
      </c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151" t="s">
        <v>130</v>
      </c>
      <c r="L89" s="152"/>
      <c r="M89" s="152"/>
      <c r="N89" s="153"/>
      <c r="O89" s="5"/>
      <c r="P89" s="5"/>
      <c r="Q89" s="138" t="s">
        <v>131</v>
      </c>
      <c r="R89" s="128"/>
      <c r="S89" s="62"/>
      <c r="T89" s="139" t="s">
        <v>132</v>
      </c>
      <c r="U89" s="128"/>
      <c r="V89" s="89"/>
      <c r="W89" s="84"/>
      <c r="X89" s="5"/>
      <c r="Y89" s="5"/>
      <c r="Z89" s="5"/>
      <c r="AA89" s="5"/>
    </row>
    <row r="90" spans="1:27" ht="14.25" customHeight="1">
      <c r="A90" s="5"/>
      <c r="B90" s="5"/>
      <c r="C90" s="5" t="s">
        <v>133</v>
      </c>
      <c r="D90" s="5"/>
      <c r="E90" s="5"/>
      <c r="F90" s="137" t="s">
        <v>134</v>
      </c>
      <c r="G90" s="133"/>
      <c r="H90" s="133"/>
      <c r="I90" s="133"/>
      <c r="J90" s="5"/>
      <c r="K90" s="91"/>
      <c r="L90" s="91"/>
      <c r="M90" s="91"/>
      <c r="N90" s="91"/>
      <c r="O90" s="5"/>
      <c r="P90" s="5"/>
      <c r="Q90" s="73"/>
      <c r="R90" s="73"/>
      <c r="S90" s="73"/>
      <c r="T90" s="12"/>
      <c r="U90" s="84"/>
      <c r="V90" s="89"/>
      <c r="W90" s="5"/>
      <c r="X90" s="67"/>
      <c r="Y90" s="5"/>
      <c r="Z90" s="5"/>
      <c r="AA90" s="5"/>
    </row>
    <row r="91" spans="1:27" ht="14.25" customHeight="1">
      <c r="A91" s="5"/>
      <c r="B91" s="5"/>
      <c r="C91" s="5" t="s">
        <v>135</v>
      </c>
      <c r="D91" s="5"/>
      <c r="E91" s="5"/>
      <c r="F91" s="5" t="s">
        <v>135</v>
      </c>
      <c r="G91" s="5"/>
      <c r="H91" s="5"/>
      <c r="I91" s="5"/>
      <c r="J91" s="5"/>
      <c r="K91" s="91"/>
      <c r="L91" s="91" t="s">
        <v>135</v>
      </c>
      <c r="M91" s="91"/>
      <c r="N91" s="91"/>
      <c r="O91" s="5"/>
      <c r="P91" s="5"/>
      <c r="Q91" s="79"/>
      <c r="R91" s="79"/>
      <c r="S91" s="79"/>
      <c r="T91" s="92" t="s">
        <v>136</v>
      </c>
      <c r="U91" s="93">
        <f>SUM(U86:U88)</f>
        <v>61051660.950000003</v>
      </c>
      <c r="V91" s="5"/>
      <c r="W91" s="67">
        <f>SUM(W86:W90)</f>
        <v>61051660.950000003</v>
      </c>
      <c r="X91" s="67"/>
      <c r="Y91" s="67"/>
      <c r="Z91" s="5"/>
      <c r="AA91" s="5"/>
    </row>
    <row r="92" spans="1:27" ht="14.25" customHeight="1">
      <c r="A92" s="5"/>
      <c r="B92" s="5"/>
      <c r="C92" s="5">
        <v>1</v>
      </c>
      <c r="D92" s="29">
        <f>W17+W18+W20+W21+W24+W25+W27+W28+W29</f>
        <v>51116525.25</v>
      </c>
      <c r="E92" s="5"/>
      <c r="F92" s="5">
        <v>1</v>
      </c>
      <c r="G92" s="29">
        <f>S17+S18+S20+S21+S24+S25+S27+S28+S29</f>
        <v>51194369.280000001</v>
      </c>
      <c r="H92" s="5"/>
      <c r="I92" s="5"/>
      <c r="J92" s="5"/>
      <c r="K92" s="94" t="s">
        <v>137</v>
      </c>
      <c r="L92" s="94">
        <v>1</v>
      </c>
      <c r="M92" s="95">
        <f>L17+L18+L20+L21+L24+L25+L27+L28+L29</f>
        <v>20346257.030000001</v>
      </c>
      <c r="N92" s="96">
        <f>M92-M93+Q73</f>
        <v>0</v>
      </c>
      <c r="O92" s="5"/>
      <c r="P92" s="5"/>
      <c r="Q92" s="5"/>
      <c r="R92" s="97"/>
      <c r="S92" s="5"/>
      <c r="T92" s="5"/>
      <c r="U92" s="5"/>
      <c r="V92" s="5"/>
      <c r="W92" s="5"/>
      <c r="X92" s="67"/>
      <c r="Y92" s="5"/>
      <c r="Z92" s="5"/>
      <c r="AA92" s="5"/>
    </row>
    <row r="93" spans="1:27" ht="14.25" customHeight="1">
      <c r="A93" s="5"/>
      <c r="B93" s="5"/>
      <c r="C93" s="5">
        <v>3</v>
      </c>
      <c r="D93" s="29">
        <f>W15+W16+W19+W22+W23+W26+W34+W36+W40+W43+W45+W46+W47+W50+W52+W53+W54+W55+W57+W59+W60+W61+W62+W63+W65+W67+W70+W71</f>
        <v>9285793.1799999997</v>
      </c>
      <c r="E93" s="5"/>
      <c r="F93" s="5">
        <v>3</v>
      </c>
      <c r="G93" s="29">
        <f>S15+S16+S19+S22+S23+S26+S34+S36+S40+S43+S45+S46+S47+S50+S52+S53+S54+S55+S57+S59+S60+S61+S62+S63+S65+S67+S70+S71</f>
        <v>47815482.549999997</v>
      </c>
      <c r="H93" s="5"/>
      <c r="I93" s="5"/>
      <c r="J93" s="5"/>
      <c r="K93" s="91" t="s">
        <v>138</v>
      </c>
      <c r="L93" s="91">
        <v>1</v>
      </c>
      <c r="M93" s="98">
        <f>M17+M18+M20+M21+M24+M25+M27+M28+M29</f>
        <v>20346257.030000001</v>
      </c>
      <c r="N93" s="91"/>
      <c r="O93" s="5"/>
      <c r="P93" s="5"/>
      <c r="Q93" s="5"/>
      <c r="R93" s="97"/>
      <c r="S93" s="5"/>
      <c r="T93" s="5"/>
      <c r="U93" s="5"/>
      <c r="V93" s="5"/>
      <c r="W93" s="5"/>
      <c r="X93" s="67"/>
      <c r="Y93" s="67"/>
      <c r="Z93" s="5"/>
      <c r="AA93" s="5"/>
    </row>
    <row r="94" spans="1:27" ht="14.25" customHeight="1">
      <c r="A94" s="5"/>
      <c r="B94" s="5"/>
      <c r="C94" s="5">
        <v>4</v>
      </c>
      <c r="D94" s="99">
        <f>W33+W35+W37+W39+W41+W42+W44+W48+W49+W51+W56+W58+W64+W66+W68+W69</f>
        <v>0</v>
      </c>
      <c r="E94" s="5"/>
      <c r="F94" s="5">
        <v>4</v>
      </c>
      <c r="G94" s="29">
        <f>S33+S35+S37+S39+S41+S42+S44+S48+S49+S51+S56+S58+S64+S66+S68+S69</f>
        <v>2093387.59</v>
      </c>
      <c r="H94" s="5"/>
      <c r="I94" s="5"/>
      <c r="J94" s="5"/>
      <c r="K94" s="91"/>
      <c r="L94" s="91"/>
      <c r="M94" s="91"/>
      <c r="N94" s="91"/>
      <c r="O94" s="5"/>
      <c r="P94" s="5"/>
      <c r="Q94" s="5"/>
      <c r="R94" s="97"/>
      <c r="S94" s="5"/>
      <c r="T94" s="100" t="s">
        <v>139</v>
      </c>
      <c r="U94" s="101">
        <f>U15+U16+U19+U22+U23+U26</f>
        <v>9285793.1799999997</v>
      </c>
      <c r="V94" s="5"/>
      <c r="W94" s="67"/>
      <c r="X94" s="67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91"/>
      <c r="L95" s="91"/>
      <c r="M95" s="96">
        <f>M92-M93</f>
        <v>0</v>
      </c>
      <c r="N95" s="91"/>
      <c r="O95" s="5"/>
      <c r="P95" s="5"/>
      <c r="Q95" s="5"/>
      <c r="R95" s="5"/>
      <c r="S95" s="5"/>
      <c r="T95" s="100" t="s">
        <v>140</v>
      </c>
      <c r="U95" s="101">
        <f>U40+U42+U47+U48+U50+U53+U55+U56+U57+U60</f>
        <v>37015.29</v>
      </c>
      <c r="V95" s="67"/>
      <c r="W95" s="67"/>
      <c r="X95" s="67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91"/>
      <c r="L96" s="91"/>
      <c r="M96" s="91"/>
      <c r="N96" s="91"/>
      <c r="O96" s="5"/>
      <c r="P96" s="5"/>
      <c r="Q96" s="5"/>
      <c r="R96" s="5"/>
      <c r="S96" s="5"/>
      <c r="T96" s="100" t="s">
        <v>136</v>
      </c>
      <c r="U96" s="101">
        <f>U94+U95</f>
        <v>9322808.4699999988</v>
      </c>
      <c r="V96" s="67"/>
      <c r="W96" s="67"/>
      <c r="X96" s="67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91"/>
      <c r="L97" s="91" t="s">
        <v>141</v>
      </c>
      <c r="M97" s="91"/>
      <c r="N97" s="91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94" t="s">
        <v>137</v>
      </c>
      <c r="L98" s="94">
        <v>3</v>
      </c>
      <c r="M98" s="95">
        <f>L15+L16+L19+L22+L23+L26+L34+L36+L40+L43+L45+L46+L47+L50+L52+L53+L54+L55+L57+L59+L60+L61+L62+L63+L65+L67+L70+L71</f>
        <v>4916890.21</v>
      </c>
      <c r="N98" s="96">
        <f>M98-M99</f>
        <v>488484.10000000056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91" t="s">
        <v>142</v>
      </c>
      <c r="L99" s="91">
        <v>3</v>
      </c>
      <c r="M99" s="98">
        <f>M15+M16+M19+M22+M23+M26+M34+M36+M40+M43+M45+M46+M47+M50+M52+M53+M54+M55+M57+M59+M60+M61+M62+M63+M65+M67+M70+M71</f>
        <v>4428406.1099999994</v>
      </c>
      <c r="N99" s="91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67"/>
      <c r="E100" s="5"/>
      <c r="F100" s="5"/>
      <c r="G100" s="5"/>
      <c r="H100" s="5"/>
      <c r="I100" s="5"/>
      <c r="J100" s="5"/>
      <c r="K100" s="91"/>
      <c r="L100" s="91"/>
      <c r="M100" s="91"/>
      <c r="N100" s="91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1"/>
      <c r="L101" s="91"/>
      <c r="M101" s="96">
        <f>M98-M99</f>
        <v>488484.10000000056</v>
      </c>
      <c r="N101" s="91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1"/>
      <c r="L102" s="91"/>
      <c r="M102" s="91"/>
      <c r="N102" s="91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1"/>
      <c r="L103" s="91" t="s">
        <v>135</v>
      </c>
      <c r="M103" s="91"/>
      <c r="N103" s="91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4" t="s">
        <v>143</v>
      </c>
      <c r="L104" s="94">
        <v>4</v>
      </c>
      <c r="M104" s="95">
        <f>L33+L35+L37+L39+L41+L42+L44+L48+L49+L51+L56+L58+L64+L66+L68+L69</f>
        <v>559620</v>
      </c>
      <c r="N104" s="96">
        <f>M104-M105</f>
        <v>-1350000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1" t="s">
        <v>144</v>
      </c>
      <c r="L105" s="91">
        <v>4</v>
      </c>
      <c r="M105" s="98">
        <f>M33+M35+M37+M39+M41+M42+M44+M48+M49+M51+M56+M58+M64+M66+M68+M69</f>
        <v>1909620</v>
      </c>
      <c r="N105" s="91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1"/>
      <c r="L106" s="91"/>
      <c r="M106" s="91"/>
      <c r="N106" s="9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7">
        <f>M104-M105</f>
        <v>-1350000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7">
        <f>N92+N98+N104</f>
        <v>-861515.89999999944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1">
    <mergeCell ref="F90:I90"/>
    <mergeCell ref="Q89:R89"/>
    <mergeCell ref="T89:U89"/>
    <mergeCell ref="J13:J14"/>
    <mergeCell ref="A30:J30"/>
    <mergeCell ref="A72:J72"/>
    <mergeCell ref="A73:J73"/>
    <mergeCell ref="A76:M76"/>
    <mergeCell ref="A78:H80"/>
    <mergeCell ref="K89:N89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A1:C1"/>
    <mergeCell ref="A2:C2"/>
    <mergeCell ref="A3:E3"/>
    <mergeCell ref="A4:E4"/>
    <mergeCell ref="A6:E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82"/>
  <sheetViews>
    <sheetView tabSelected="1" topLeftCell="A76" workbookViewId="0">
      <selection activeCell="P95" sqref="P95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>
      <c r="A1" s="126" t="s">
        <v>0</v>
      </c>
      <c r="B1" s="127"/>
      <c r="C1" s="127"/>
      <c r="D1" s="127"/>
      <c r="E1" s="127"/>
      <c r="F1" s="128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29" t="s">
        <v>1</v>
      </c>
      <c r="B2" s="130"/>
      <c r="C2" s="130"/>
      <c r="D2" s="130"/>
      <c r="E2" s="130"/>
      <c r="F2" s="13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29" t="s">
        <v>2</v>
      </c>
      <c r="B3" s="130"/>
      <c r="C3" s="130"/>
      <c r="D3" s="130"/>
      <c r="E3" s="130"/>
      <c r="F3" s="131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26" t="s">
        <v>145</v>
      </c>
      <c r="B4" s="127"/>
      <c r="C4" s="127"/>
      <c r="D4" s="127"/>
      <c r="E4" s="127"/>
      <c r="F4" s="128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26" t="s">
        <v>166</v>
      </c>
      <c r="B6" s="127"/>
      <c r="C6" s="127"/>
      <c r="D6" s="127"/>
      <c r="E6" s="127"/>
      <c r="F6" s="128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26" t="s">
        <v>167</v>
      </c>
      <c r="B7" s="127"/>
      <c r="C7" s="127"/>
      <c r="D7" s="127"/>
      <c r="E7" s="127"/>
      <c r="F7" s="128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154"/>
      <c r="B8" s="133"/>
      <c r="C8" s="133"/>
      <c r="D8" s="133"/>
      <c r="E8" s="133"/>
      <c r="F8" s="133"/>
      <c r="G8" s="1"/>
      <c r="H8" s="2"/>
      <c r="I8" s="2"/>
      <c r="J8" s="114"/>
      <c r="K8" s="1"/>
      <c r="L8" s="1"/>
      <c r="M8" s="1"/>
      <c r="N8" s="1"/>
      <c r="O8" s="1"/>
      <c r="P8" s="1"/>
      <c r="Q8" s="1"/>
      <c r="R8" s="1"/>
      <c r="S8" s="1"/>
      <c r="T8" s="1"/>
      <c r="U8" s="115"/>
      <c r="V8" s="5"/>
      <c r="W8" s="5"/>
      <c r="X8" s="5"/>
      <c r="Y8" s="5"/>
      <c r="Z8" s="5"/>
      <c r="AA8" s="5"/>
    </row>
    <row r="9" spans="1:27" ht="14.25" customHeight="1">
      <c r="A9" s="132" t="s">
        <v>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102"/>
      <c r="K10" s="1"/>
      <c r="L10" s="1"/>
      <c r="M10" s="1"/>
      <c r="N10" s="1"/>
      <c r="O10" s="1"/>
      <c r="P10" s="1"/>
      <c r="Q10" s="1"/>
      <c r="R10" s="1"/>
      <c r="S10" s="1"/>
      <c r="T10" s="1"/>
      <c r="U10" s="103"/>
      <c r="V10" s="1"/>
      <c r="W10" s="12"/>
      <c r="X10" s="1"/>
      <c r="Y10" s="5"/>
      <c r="Z10" s="5"/>
      <c r="AA10" s="5"/>
    </row>
    <row r="11" spans="1:27" ht="14.25" customHeight="1">
      <c r="A11" s="136" t="s">
        <v>8</v>
      </c>
      <c r="B11" s="127"/>
      <c r="C11" s="127"/>
      <c r="D11" s="127"/>
      <c r="E11" s="127"/>
      <c r="F11" s="127"/>
      <c r="G11" s="127"/>
      <c r="H11" s="127"/>
      <c r="I11" s="127"/>
      <c r="J11" s="128"/>
      <c r="K11" s="134" t="s">
        <v>9</v>
      </c>
      <c r="L11" s="136" t="s">
        <v>10</v>
      </c>
      <c r="M11" s="128"/>
      <c r="N11" s="134" t="s">
        <v>11</v>
      </c>
      <c r="O11" s="134" t="s">
        <v>12</v>
      </c>
      <c r="P11" s="136" t="s">
        <v>13</v>
      </c>
      <c r="Q11" s="128"/>
      <c r="R11" s="134" t="s">
        <v>14</v>
      </c>
      <c r="S11" s="136" t="s">
        <v>15</v>
      </c>
      <c r="T11" s="127"/>
      <c r="U11" s="127"/>
      <c r="V11" s="127"/>
      <c r="W11" s="127"/>
      <c r="X11" s="128"/>
      <c r="Y11" s="5"/>
      <c r="Z11" s="5"/>
      <c r="AA11" s="5"/>
    </row>
    <row r="12" spans="1:27" ht="14.25" customHeight="1">
      <c r="A12" s="136" t="s">
        <v>16</v>
      </c>
      <c r="B12" s="128"/>
      <c r="C12" s="134" t="s">
        <v>17</v>
      </c>
      <c r="D12" s="134" t="s">
        <v>18</v>
      </c>
      <c r="E12" s="136" t="s">
        <v>19</v>
      </c>
      <c r="F12" s="128"/>
      <c r="G12" s="134" t="s">
        <v>20</v>
      </c>
      <c r="H12" s="136" t="s">
        <v>21</v>
      </c>
      <c r="I12" s="128"/>
      <c r="J12" s="140" t="s">
        <v>22</v>
      </c>
      <c r="K12" s="135"/>
      <c r="L12" s="13" t="s">
        <v>23</v>
      </c>
      <c r="M12" s="13" t="s">
        <v>24</v>
      </c>
      <c r="N12" s="135"/>
      <c r="O12" s="135"/>
      <c r="P12" s="14" t="s">
        <v>25</v>
      </c>
      <c r="Q12" s="14" t="s">
        <v>26</v>
      </c>
      <c r="R12" s="135"/>
      <c r="S12" s="15" t="s">
        <v>27</v>
      </c>
      <c r="T12" s="16" t="s">
        <v>28</v>
      </c>
      <c r="U12" s="15" t="s">
        <v>29</v>
      </c>
      <c r="V12" s="17" t="s">
        <v>28</v>
      </c>
      <c r="W12" s="18" t="s">
        <v>30</v>
      </c>
      <c r="X12" s="17" t="s">
        <v>28</v>
      </c>
      <c r="Y12" s="5"/>
      <c r="Z12" s="5"/>
      <c r="AA12" s="5"/>
    </row>
    <row r="13" spans="1:27" ht="31.5" customHeight="1">
      <c r="A13" s="15" t="s">
        <v>31</v>
      </c>
      <c r="B13" s="15" t="s">
        <v>19</v>
      </c>
      <c r="C13" s="135"/>
      <c r="D13" s="135"/>
      <c r="E13" s="14" t="s">
        <v>32</v>
      </c>
      <c r="F13" s="14" t="s">
        <v>33</v>
      </c>
      <c r="G13" s="135"/>
      <c r="H13" s="14" t="s">
        <v>31</v>
      </c>
      <c r="I13" s="14" t="s">
        <v>19</v>
      </c>
      <c r="J13" s="135"/>
      <c r="K13" s="15" t="s">
        <v>34</v>
      </c>
      <c r="L13" s="14" t="s">
        <v>35</v>
      </c>
      <c r="M13" s="14" t="s">
        <v>36</v>
      </c>
      <c r="N13" s="14" t="s">
        <v>37</v>
      </c>
      <c r="O13" s="14" t="s">
        <v>38</v>
      </c>
      <c r="P13" s="14" t="s">
        <v>39</v>
      </c>
      <c r="Q13" s="14" t="s">
        <v>40</v>
      </c>
      <c r="R13" s="15" t="s">
        <v>41</v>
      </c>
      <c r="S13" s="19" t="s">
        <v>42</v>
      </c>
      <c r="T13" s="20" t="s">
        <v>43</v>
      </c>
      <c r="U13" s="19" t="s">
        <v>44</v>
      </c>
      <c r="V13" s="20" t="s">
        <v>45</v>
      </c>
      <c r="W13" s="18" t="s">
        <v>46</v>
      </c>
      <c r="X13" s="20" t="s">
        <v>47</v>
      </c>
      <c r="Y13" s="5"/>
      <c r="Z13" s="5"/>
      <c r="AA13" s="5"/>
    </row>
    <row r="14" spans="1:27" ht="63" customHeight="1">
      <c r="A14" s="21" t="s">
        <v>48</v>
      </c>
      <c r="B14" s="32" t="s">
        <v>49</v>
      </c>
      <c r="C14" s="32" t="s">
        <v>50</v>
      </c>
      <c r="D14" s="32" t="s">
        <v>51</v>
      </c>
      <c r="E14" s="113" t="s">
        <v>90</v>
      </c>
      <c r="F14" s="32" t="s">
        <v>53</v>
      </c>
      <c r="G14" s="32" t="s">
        <v>54</v>
      </c>
      <c r="H14" s="113" t="s">
        <v>146</v>
      </c>
      <c r="I14" s="113" t="s">
        <v>153</v>
      </c>
      <c r="J14" s="119">
        <v>3</v>
      </c>
      <c r="K14" s="108">
        <v>2000000</v>
      </c>
      <c r="L14" s="105">
        <v>631198.02</v>
      </c>
      <c r="M14" s="105">
        <v>631198.02</v>
      </c>
      <c r="N14" s="25">
        <f t="shared" ref="N14:N29" si="0">K14+L14-M14</f>
        <v>2000000</v>
      </c>
      <c r="O14" s="26"/>
      <c r="P14" s="26"/>
      <c r="Q14" s="26"/>
      <c r="R14" s="25">
        <f t="shared" ref="R14:R29" si="1">N14-O14+P14+Q14</f>
        <v>2000000</v>
      </c>
      <c r="S14" s="105">
        <v>0</v>
      </c>
      <c r="T14" s="27">
        <f t="shared" ref="T14:T30" si="2">IF(R14&gt;0,S14/R14,0)</f>
        <v>0</v>
      </c>
      <c r="U14" s="110">
        <v>0</v>
      </c>
      <c r="V14" s="27">
        <f t="shared" ref="V14:V30" si="3">IF(R14&gt;0,U14/R14,0)</f>
        <v>0</v>
      </c>
      <c r="W14" s="105">
        <v>0</v>
      </c>
      <c r="X14" s="27">
        <f t="shared" ref="X14:X30" si="4">IF(R14&gt;0,W14/R14,0)</f>
        <v>0</v>
      </c>
      <c r="Y14" s="5"/>
      <c r="Z14" s="5"/>
      <c r="AA14" s="5"/>
    </row>
    <row r="15" spans="1:27" ht="63" customHeight="1">
      <c r="A15" s="21" t="s">
        <v>48</v>
      </c>
      <c r="B15" s="32" t="s">
        <v>49</v>
      </c>
      <c r="C15" s="32" t="s">
        <v>50</v>
      </c>
      <c r="D15" s="32" t="s">
        <v>57</v>
      </c>
      <c r="E15" s="113" t="s">
        <v>90</v>
      </c>
      <c r="F15" s="32" t="s">
        <v>58</v>
      </c>
      <c r="G15" s="32" t="s">
        <v>54</v>
      </c>
      <c r="H15" s="113" t="s">
        <v>146</v>
      </c>
      <c r="I15" s="113" t="s">
        <v>153</v>
      </c>
      <c r="J15" s="119">
        <v>3</v>
      </c>
      <c r="K15" s="108">
        <v>76324000</v>
      </c>
      <c r="L15" s="105">
        <v>0</v>
      </c>
      <c r="M15" s="105">
        <v>0</v>
      </c>
      <c r="N15" s="25">
        <f t="shared" si="0"/>
        <v>76324000</v>
      </c>
      <c r="O15" s="122"/>
      <c r="P15" s="26"/>
      <c r="Q15" s="26"/>
      <c r="R15" s="25">
        <f>N15-O15+P15+Q15</f>
        <v>76324000</v>
      </c>
      <c r="S15" s="105">
        <v>44967846.579999998</v>
      </c>
      <c r="T15" s="27">
        <f t="shared" si="2"/>
        <v>0.58917046512237303</v>
      </c>
      <c r="U15" s="110">
        <v>44967846.579999998</v>
      </c>
      <c r="V15" s="27">
        <f t="shared" si="3"/>
        <v>0.58917046512237303</v>
      </c>
      <c r="W15" s="105">
        <v>44967846.579999998</v>
      </c>
      <c r="X15" s="27">
        <f t="shared" si="4"/>
        <v>0.58917046512237303</v>
      </c>
      <c r="Y15" s="29"/>
      <c r="Z15" s="5"/>
      <c r="AA15" s="5"/>
    </row>
    <row r="16" spans="1:27" ht="63" customHeight="1">
      <c r="A16" s="21" t="s">
        <v>48</v>
      </c>
      <c r="B16" s="32" t="s">
        <v>49</v>
      </c>
      <c r="C16" s="32" t="s">
        <v>50</v>
      </c>
      <c r="D16" s="32" t="s">
        <v>59</v>
      </c>
      <c r="E16" s="113" t="s">
        <v>90</v>
      </c>
      <c r="F16" s="32" t="s">
        <v>60</v>
      </c>
      <c r="G16" s="32" t="s">
        <v>54</v>
      </c>
      <c r="H16" s="113" t="s">
        <v>146</v>
      </c>
      <c r="I16" s="113" t="s">
        <v>153</v>
      </c>
      <c r="J16" s="30">
        <v>1</v>
      </c>
      <c r="K16" s="108">
        <v>461873000</v>
      </c>
      <c r="L16" s="105">
        <v>8791064.0600000005</v>
      </c>
      <c r="M16" s="105">
        <v>8791064.0600000005</v>
      </c>
      <c r="N16" s="25">
        <f t="shared" si="0"/>
        <v>461873000</v>
      </c>
      <c r="O16" s="26"/>
      <c r="P16" s="26"/>
      <c r="Q16" s="26"/>
      <c r="R16" s="25">
        <f t="shared" si="1"/>
        <v>461873000</v>
      </c>
      <c r="S16" s="105">
        <v>259251698.80000001</v>
      </c>
      <c r="T16" s="27">
        <f t="shared" si="2"/>
        <v>0.56130516137552966</v>
      </c>
      <c r="U16" s="106">
        <v>259251698.80000001</v>
      </c>
      <c r="V16" s="27">
        <f t="shared" si="3"/>
        <v>0.56130516137552966</v>
      </c>
      <c r="W16" s="105">
        <v>258433780.19</v>
      </c>
      <c r="X16" s="27">
        <f t="shared" si="4"/>
        <v>0.55953428797526594</v>
      </c>
      <c r="Y16" s="5"/>
      <c r="Z16" s="5"/>
      <c r="AA16" s="5"/>
    </row>
    <row r="17" spans="1:27" ht="63" customHeight="1">
      <c r="A17" s="21" t="s">
        <v>48</v>
      </c>
      <c r="B17" s="32" t="s">
        <v>49</v>
      </c>
      <c r="C17" s="32" t="s">
        <v>50</v>
      </c>
      <c r="D17" s="32" t="s">
        <v>61</v>
      </c>
      <c r="E17" s="113" t="s">
        <v>65</v>
      </c>
      <c r="F17" s="32" t="s">
        <v>62</v>
      </c>
      <c r="G17" s="32" t="s">
        <v>54</v>
      </c>
      <c r="H17" s="113" t="s">
        <v>146</v>
      </c>
      <c r="I17" s="113" t="s">
        <v>153</v>
      </c>
      <c r="J17" s="30">
        <v>1</v>
      </c>
      <c r="K17" s="107">
        <v>120000</v>
      </c>
      <c r="L17" s="108">
        <v>0</v>
      </c>
      <c r="M17" s="108">
        <v>0</v>
      </c>
      <c r="N17" s="35">
        <f t="shared" si="0"/>
        <v>120000</v>
      </c>
      <c r="O17" s="35"/>
      <c r="P17" s="35"/>
      <c r="Q17" s="35"/>
      <c r="R17" s="35">
        <f t="shared" si="1"/>
        <v>120000</v>
      </c>
      <c r="S17" s="109">
        <v>30160</v>
      </c>
      <c r="T17" s="37">
        <f t="shared" si="2"/>
        <v>0.25133333333333335</v>
      </c>
      <c r="U17" s="106">
        <v>30160</v>
      </c>
      <c r="V17" s="37">
        <f t="shared" si="3"/>
        <v>0.25133333333333335</v>
      </c>
      <c r="W17" s="108">
        <v>30160</v>
      </c>
      <c r="X17" s="37">
        <f t="shared" si="4"/>
        <v>0.25133333333333335</v>
      </c>
      <c r="Y17" s="5"/>
      <c r="Z17" s="5"/>
      <c r="AA17" s="5"/>
    </row>
    <row r="18" spans="1:27" ht="63" customHeight="1">
      <c r="A18" s="21" t="s">
        <v>48</v>
      </c>
      <c r="B18" s="32" t="s">
        <v>49</v>
      </c>
      <c r="C18" s="32" t="s">
        <v>50</v>
      </c>
      <c r="D18" s="32" t="s">
        <v>64</v>
      </c>
      <c r="E18" s="32" t="s">
        <v>65</v>
      </c>
      <c r="F18" s="32" t="s">
        <v>66</v>
      </c>
      <c r="G18" s="32" t="s">
        <v>54</v>
      </c>
      <c r="H18" s="113" t="s">
        <v>146</v>
      </c>
      <c r="I18" s="113" t="s">
        <v>153</v>
      </c>
      <c r="J18" s="119">
        <v>3</v>
      </c>
      <c r="K18" s="108">
        <v>21351000</v>
      </c>
      <c r="L18" s="105">
        <v>12000</v>
      </c>
      <c r="M18" s="105">
        <v>12000</v>
      </c>
      <c r="N18" s="25">
        <f t="shared" si="0"/>
        <v>21351000</v>
      </c>
      <c r="O18" s="26"/>
      <c r="P18" s="26"/>
      <c r="Q18" s="26"/>
      <c r="R18" s="25">
        <f t="shared" si="1"/>
        <v>21351000</v>
      </c>
      <c r="S18" s="105">
        <v>12884322.74</v>
      </c>
      <c r="T18" s="27">
        <f t="shared" si="2"/>
        <v>0.6034528940096483</v>
      </c>
      <c r="U18" s="110">
        <v>12884322.74</v>
      </c>
      <c r="V18" s="27">
        <f t="shared" si="3"/>
        <v>0.6034528940096483</v>
      </c>
      <c r="W18" s="105">
        <v>12884322.74</v>
      </c>
      <c r="X18" s="27">
        <f t="shared" si="4"/>
        <v>0.6034528940096483</v>
      </c>
      <c r="Y18" s="5"/>
      <c r="Z18" s="5"/>
      <c r="AA18" s="5"/>
    </row>
    <row r="19" spans="1:27" ht="63" customHeight="1">
      <c r="A19" s="21" t="s">
        <v>48</v>
      </c>
      <c r="B19" s="32" t="s">
        <v>49</v>
      </c>
      <c r="C19" s="32" t="s">
        <v>50</v>
      </c>
      <c r="D19" s="113" t="s">
        <v>113</v>
      </c>
      <c r="E19" s="32" t="s">
        <v>65</v>
      </c>
      <c r="F19" s="113" t="s">
        <v>147</v>
      </c>
      <c r="G19" s="32" t="s">
        <v>54</v>
      </c>
      <c r="H19" s="113" t="s">
        <v>146</v>
      </c>
      <c r="I19" s="113" t="s">
        <v>153</v>
      </c>
      <c r="J19" s="119">
        <v>3</v>
      </c>
      <c r="K19" s="108">
        <v>475000</v>
      </c>
      <c r="L19" s="105">
        <v>0</v>
      </c>
      <c r="M19" s="105">
        <v>0</v>
      </c>
      <c r="N19" s="25">
        <f t="shared" si="0"/>
        <v>475000</v>
      </c>
      <c r="O19" s="26"/>
      <c r="P19" s="26"/>
      <c r="Q19" s="26"/>
      <c r="R19" s="25">
        <f t="shared" si="1"/>
        <v>475000</v>
      </c>
      <c r="S19" s="105">
        <v>0</v>
      </c>
      <c r="T19" s="27">
        <f t="shared" si="2"/>
        <v>0</v>
      </c>
      <c r="U19" s="110">
        <v>0</v>
      </c>
      <c r="V19" s="27">
        <f t="shared" si="3"/>
        <v>0</v>
      </c>
      <c r="W19" s="105">
        <v>0</v>
      </c>
      <c r="X19" s="27">
        <f t="shared" si="4"/>
        <v>0</v>
      </c>
      <c r="Y19" s="5"/>
      <c r="Z19" s="5"/>
      <c r="AA19" s="5"/>
    </row>
    <row r="20" spans="1:27" ht="63" customHeight="1">
      <c r="A20" s="21" t="s">
        <v>48</v>
      </c>
      <c r="B20" s="32" t="s">
        <v>49</v>
      </c>
      <c r="C20" s="32" t="s">
        <v>50</v>
      </c>
      <c r="D20" s="32" t="s">
        <v>67</v>
      </c>
      <c r="E20" s="32" t="s">
        <v>65</v>
      </c>
      <c r="F20" s="113" t="s">
        <v>154</v>
      </c>
      <c r="G20" s="32" t="s">
        <v>54</v>
      </c>
      <c r="H20" s="113" t="s">
        <v>146</v>
      </c>
      <c r="I20" s="113" t="s">
        <v>153</v>
      </c>
      <c r="J20" s="30">
        <v>1</v>
      </c>
      <c r="K20" s="108">
        <v>111000000</v>
      </c>
      <c r="L20" s="105">
        <v>8259000</v>
      </c>
      <c r="M20" s="105">
        <v>8259000</v>
      </c>
      <c r="N20" s="25">
        <f t="shared" si="0"/>
        <v>111000000</v>
      </c>
      <c r="O20" s="26"/>
      <c r="P20" s="26"/>
      <c r="Q20" s="26"/>
      <c r="R20" s="25">
        <f t="shared" si="1"/>
        <v>111000000</v>
      </c>
      <c r="S20" s="105">
        <v>67447845.730000004</v>
      </c>
      <c r="T20" s="27">
        <f t="shared" si="2"/>
        <v>0.60763824981981984</v>
      </c>
      <c r="U20" s="106">
        <v>67447845.730000004</v>
      </c>
      <c r="V20" s="27">
        <f t="shared" si="3"/>
        <v>0.60763824981981984</v>
      </c>
      <c r="W20" s="105">
        <v>66944169.340000004</v>
      </c>
      <c r="X20" s="27">
        <f t="shared" si="4"/>
        <v>0.60310062468468473</v>
      </c>
      <c r="Y20" s="5"/>
      <c r="Z20" s="5"/>
      <c r="AA20" s="5"/>
    </row>
    <row r="21" spans="1:27" ht="63" customHeight="1">
      <c r="A21" s="21" t="s">
        <v>48</v>
      </c>
      <c r="B21" s="32" t="s">
        <v>49</v>
      </c>
      <c r="C21" s="32" t="s">
        <v>50</v>
      </c>
      <c r="D21" s="32" t="s">
        <v>69</v>
      </c>
      <c r="E21" s="32" t="s">
        <v>65</v>
      </c>
      <c r="F21" s="32" t="s">
        <v>70</v>
      </c>
      <c r="G21" s="32" t="s">
        <v>54</v>
      </c>
      <c r="H21" s="113" t="s">
        <v>146</v>
      </c>
      <c r="I21" s="113" t="s">
        <v>153</v>
      </c>
      <c r="J21" s="30">
        <v>1</v>
      </c>
      <c r="K21" s="108">
        <v>131100000</v>
      </c>
      <c r="L21" s="105">
        <v>605588</v>
      </c>
      <c r="M21" s="105">
        <v>605588</v>
      </c>
      <c r="N21" s="25">
        <f t="shared" si="0"/>
        <v>131100000</v>
      </c>
      <c r="O21" s="26"/>
      <c r="P21" s="26"/>
      <c r="Q21" s="26"/>
      <c r="R21" s="25">
        <f t="shared" si="1"/>
        <v>131100000</v>
      </c>
      <c r="S21" s="105">
        <v>84030611.329999998</v>
      </c>
      <c r="T21" s="27">
        <f t="shared" si="2"/>
        <v>0.64096576147978646</v>
      </c>
      <c r="U21" s="106">
        <v>84030611.329999998</v>
      </c>
      <c r="V21" s="27">
        <f t="shared" si="3"/>
        <v>0.64096576147978646</v>
      </c>
      <c r="W21" s="105">
        <v>83654896.540000007</v>
      </c>
      <c r="X21" s="27">
        <f t="shared" si="4"/>
        <v>0.63809989733028227</v>
      </c>
      <c r="Y21" s="5"/>
      <c r="Z21" s="5"/>
      <c r="AA21" s="5"/>
    </row>
    <row r="22" spans="1:27" ht="63" customHeight="1">
      <c r="A22" s="21" t="s">
        <v>48</v>
      </c>
      <c r="B22" s="32" t="s">
        <v>49</v>
      </c>
      <c r="C22" s="32" t="s">
        <v>50</v>
      </c>
      <c r="D22" s="32" t="s">
        <v>71</v>
      </c>
      <c r="E22" s="32" t="s">
        <v>65</v>
      </c>
      <c r="F22" s="32" t="s">
        <v>72</v>
      </c>
      <c r="G22" s="32" t="s">
        <v>54</v>
      </c>
      <c r="H22" s="113" t="s">
        <v>146</v>
      </c>
      <c r="I22" s="113" t="s">
        <v>153</v>
      </c>
      <c r="J22" s="119">
        <v>3</v>
      </c>
      <c r="K22" s="108">
        <v>24100000</v>
      </c>
      <c r="L22" s="105">
        <v>0</v>
      </c>
      <c r="M22" s="105">
        <v>0</v>
      </c>
      <c r="N22" s="25">
        <f t="shared" si="0"/>
        <v>24100000</v>
      </c>
      <c r="O22" s="26"/>
      <c r="P22" s="26"/>
      <c r="Q22" s="26"/>
      <c r="R22" s="25">
        <f t="shared" si="1"/>
        <v>24100000</v>
      </c>
      <c r="S22" s="105">
        <v>14551152.75</v>
      </c>
      <c r="T22" s="27">
        <f t="shared" si="2"/>
        <v>0.60378227178423238</v>
      </c>
      <c r="U22" s="110">
        <v>14551152.75</v>
      </c>
      <c r="V22" s="27">
        <f t="shared" si="3"/>
        <v>0.60378227178423238</v>
      </c>
      <c r="W22" s="105">
        <v>14551152.75</v>
      </c>
      <c r="X22" s="27">
        <f t="shared" si="4"/>
        <v>0.60378227178423238</v>
      </c>
      <c r="Y22" s="5"/>
      <c r="Z22" s="5"/>
      <c r="AA22" s="5"/>
    </row>
    <row r="23" spans="1:27" ht="63" hidden="1" customHeight="1">
      <c r="A23" s="21" t="s">
        <v>48</v>
      </c>
      <c r="B23" s="32" t="s">
        <v>49</v>
      </c>
      <c r="C23" s="32" t="s">
        <v>73</v>
      </c>
      <c r="D23" s="32" t="s">
        <v>74</v>
      </c>
      <c r="E23" s="32" t="s">
        <v>65</v>
      </c>
      <c r="F23" s="32" t="s">
        <v>75</v>
      </c>
      <c r="G23" s="32" t="s">
        <v>54</v>
      </c>
      <c r="H23" s="32" t="s">
        <v>55</v>
      </c>
      <c r="I23" s="113" t="s">
        <v>153</v>
      </c>
      <c r="J23" s="23">
        <v>3</v>
      </c>
      <c r="K23" s="34"/>
      <c r="L23" s="24"/>
      <c r="M23" s="24"/>
      <c r="N23" s="25">
        <f t="shared" si="0"/>
        <v>0</v>
      </c>
      <c r="O23" s="26"/>
      <c r="P23" s="26"/>
      <c r="Q23" s="26"/>
      <c r="R23" s="25">
        <f t="shared" si="1"/>
        <v>0</v>
      </c>
      <c r="S23" s="24"/>
      <c r="T23" s="27">
        <f t="shared" si="2"/>
        <v>0</v>
      </c>
      <c r="U23" s="28"/>
      <c r="V23" s="27">
        <f t="shared" si="3"/>
        <v>0</v>
      </c>
      <c r="W23" s="24"/>
      <c r="X23" s="27">
        <f t="shared" si="4"/>
        <v>0</v>
      </c>
      <c r="Y23" s="5"/>
      <c r="Z23" s="5"/>
      <c r="AA23" s="5"/>
    </row>
    <row r="24" spans="1:27" ht="63" customHeight="1">
      <c r="A24" s="21" t="s">
        <v>48</v>
      </c>
      <c r="B24" s="32" t="s">
        <v>49</v>
      </c>
      <c r="C24" s="32" t="s">
        <v>76</v>
      </c>
      <c r="D24" s="32" t="s">
        <v>77</v>
      </c>
      <c r="E24" s="32" t="s">
        <v>65</v>
      </c>
      <c r="F24" s="32" t="s">
        <v>78</v>
      </c>
      <c r="G24" s="32" t="s">
        <v>54</v>
      </c>
      <c r="H24" s="113" t="s">
        <v>146</v>
      </c>
      <c r="I24" s="113" t="s">
        <v>153</v>
      </c>
      <c r="J24" s="30">
        <v>1</v>
      </c>
      <c r="K24" s="107">
        <v>120000</v>
      </c>
      <c r="L24" s="105">
        <v>0</v>
      </c>
      <c r="M24" s="105">
        <v>0</v>
      </c>
      <c r="N24" s="25">
        <f t="shared" si="0"/>
        <v>120000</v>
      </c>
      <c r="O24" s="25"/>
      <c r="P24" s="25"/>
      <c r="Q24" s="25"/>
      <c r="R24" s="25">
        <f t="shared" si="1"/>
        <v>120000</v>
      </c>
      <c r="S24" s="108">
        <v>63160</v>
      </c>
      <c r="T24" s="27">
        <f t="shared" si="2"/>
        <v>0.52633333333333332</v>
      </c>
      <c r="U24" s="106">
        <v>63160</v>
      </c>
      <c r="V24" s="27">
        <f t="shared" si="3"/>
        <v>0.52633333333333332</v>
      </c>
      <c r="W24" s="105">
        <v>63160</v>
      </c>
      <c r="X24" s="27">
        <f t="shared" si="4"/>
        <v>0.52633333333333332</v>
      </c>
      <c r="Y24" s="5"/>
      <c r="Z24" s="5"/>
      <c r="AA24" s="5"/>
    </row>
    <row r="25" spans="1:27" ht="63" customHeight="1">
      <c r="A25" s="21" t="s">
        <v>48</v>
      </c>
      <c r="B25" s="32" t="s">
        <v>49</v>
      </c>
      <c r="C25" s="32" t="s">
        <v>79</v>
      </c>
      <c r="D25" s="32" t="s">
        <v>80</v>
      </c>
      <c r="E25" s="113" t="s">
        <v>155</v>
      </c>
      <c r="F25" s="32" t="s">
        <v>81</v>
      </c>
      <c r="G25" s="113" t="s">
        <v>156</v>
      </c>
      <c r="H25" s="113" t="s">
        <v>146</v>
      </c>
      <c r="I25" s="113" t="s">
        <v>153</v>
      </c>
      <c r="J25" s="30">
        <v>1</v>
      </c>
      <c r="K25" s="108">
        <f>115250000-K26</f>
        <v>109500000</v>
      </c>
      <c r="L25" s="105">
        <f>24129000</f>
        <v>24129000</v>
      </c>
      <c r="M25" s="105">
        <v>24129000</v>
      </c>
      <c r="N25" s="25">
        <f t="shared" si="0"/>
        <v>109500000</v>
      </c>
      <c r="O25" s="25"/>
      <c r="P25" s="25"/>
      <c r="Q25" s="25">
        <f>-9922000-20704500</f>
        <v>-30626500</v>
      </c>
      <c r="R25" s="25">
        <f t="shared" si="1"/>
        <v>78873500</v>
      </c>
      <c r="S25" s="105">
        <f>46102788.87-S26</f>
        <v>42810796.68</v>
      </c>
      <c r="T25" s="27">
        <f t="shared" si="2"/>
        <v>0.54277795051569921</v>
      </c>
      <c r="U25" s="106">
        <f>45911981.65-U26</f>
        <v>42619989.460000001</v>
      </c>
      <c r="V25" s="27">
        <f t="shared" si="3"/>
        <v>0.54035879553969335</v>
      </c>
      <c r="W25" s="105">
        <f>45911981.65-W26</f>
        <v>42619989.460000001</v>
      </c>
      <c r="X25" s="27">
        <f t="shared" si="4"/>
        <v>0.54035879553969335</v>
      </c>
      <c r="Y25" s="5"/>
      <c r="Z25" s="5"/>
      <c r="AA25" s="5"/>
    </row>
    <row r="26" spans="1:27" ht="63" customHeight="1">
      <c r="A26" s="21" t="s">
        <v>48</v>
      </c>
      <c r="B26" s="32" t="s">
        <v>49</v>
      </c>
      <c r="C26" s="32" t="s">
        <v>79</v>
      </c>
      <c r="D26" s="32" t="s">
        <v>80</v>
      </c>
      <c r="E26" s="113" t="s">
        <v>155</v>
      </c>
      <c r="F26" s="32" t="s">
        <v>81</v>
      </c>
      <c r="G26" s="113" t="s">
        <v>156</v>
      </c>
      <c r="H26" s="113" t="s">
        <v>146</v>
      </c>
      <c r="I26" s="113" t="s">
        <v>153</v>
      </c>
      <c r="J26" s="119">
        <v>3</v>
      </c>
      <c r="K26" s="108">
        <v>5750000</v>
      </c>
      <c r="L26" s="105">
        <v>0</v>
      </c>
      <c r="M26" s="105">
        <v>0</v>
      </c>
      <c r="N26" s="25">
        <f t="shared" si="0"/>
        <v>5750000</v>
      </c>
      <c r="O26" s="25"/>
      <c r="P26" s="25"/>
      <c r="Q26" s="117"/>
      <c r="R26" s="25">
        <f t="shared" si="1"/>
        <v>5750000</v>
      </c>
      <c r="S26" s="105">
        <f>106700.52+3185291.67</f>
        <v>3291992.19</v>
      </c>
      <c r="T26" s="27">
        <f t="shared" si="2"/>
        <v>0.57252038086956525</v>
      </c>
      <c r="U26" s="110">
        <f>106700.52+3185291.67</f>
        <v>3291992.19</v>
      </c>
      <c r="V26" s="27">
        <f t="shared" si="3"/>
        <v>0.57252038086956525</v>
      </c>
      <c r="W26" s="105">
        <f>106700.52+3185291.67</f>
        <v>3291992.19</v>
      </c>
      <c r="X26" s="27">
        <f t="shared" si="4"/>
        <v>0.57252038086956525</v>
      </c>
      <c r="Y26" s="5"/>
      <c r="Z26" s="5"/>
      <c r="AA26" s="5"/>
    </row>
    <row r="27" spans="1:27" ht="63" hidden="1" customHeight="1">
      <c r="A27" s="21" t="s">
        <v>48</v>
      </c>
      <c r="B27" s="22" t="s">
        <v>49</v>
      </c>
      <c r="C27" s="22" t="s">
        <v>79</v>
      </c>
      <c r="D27" s="22" t="s">
        <v>80</v>
      </c>
      <c r="E27" s="22" t="s">
        <v>65</v>
      </c>
      <c r="F27" s="22" t="s">
        <v>81</v>
      </c>
      <c r="G27" s="22" t="s">
        <v>54</v>
      </c>
      <c r="H27" s="22" t="s">
        <v>82</v>
      </c>
      <c r="I27" s="113" t="s">
        <v>153</v>
      </c>
      <c r="J27" s="30">
        <v>1</v>
      </c>
      <c r="K27" s="24"/>
      <c r="L27" s="24"/>
      <c r="M27" s="24"/>
      <c r="N27" s="25">
        <f t="shared" si="0"/>
        <v>0</v>
      </c>
      <c r="O27" s="25"/>
      <c r="P27" s="25"/>
      <c r="Q27" s="25"/>
      <c r="R27" s="25">
        <f t="shared" si="1"/>
        <v>0</v>
      </c>
      <c r="S27" s="24"/>
      <c r="T27" s="27">
        <f t="shared" si="2"/>
        <v>0</v>
      </c>
      <c r="U27" s="31"/>
      <c r="V27" s="27">
        <f t="shared" si="3"/>
        <v>0</v>
      </c>
      <c r="W27" s="24"/>
      <c r="X27" s="27">
        <f t="shared" si="4"/>
        <v>0</v>
      </c>
      <c r="Y27" s="5"/>
      <c r="Z27" s="5"/>
      <c r="AA27" s="5"/>
    </row>
    <row r="28" spans="1:27" ht="63" customHeight="1">
      <c r="A28" s="21" t="s">
        <v>48</v>
      </c>
      <c r="B28" s="22" t="s">
        <v>49</v>
      </c>
      <c r="C28" s="22" t="s">
        <v>83</v>
      </c>
      <c r="D28" s="22" t="s">
        <v>84</v>
      </c>
      <c r="E28" s="104" t="s">
        <v>157</v>
      </c>
      <c r="F28" s="22" t="s">
        <v>85</v>
      </c>
      <c r="G28" s="22" t="s">
        <v>54</v>
      </c>
      <c r="H28" s="104" t="s">
        <v>146</v>
      </c>
      <c r="I28" s="113" t="s">
        <v>153</v>
      </c>
      <c r="J28" s="30">
        <v>1</v>
      </c>
      <c r="K28" s="105">
        <v>73000</v>
      </c>
      <c r="L28" s="105">
        <v>0</v>
      </c>
      <c r="M28" s="105">
        <v>0</v>
      </c>
      <c r="N28" s="25">
        <f t="shared" si="0"/>
        <v>73000</v>
      </c>
      <c r="O28" s="25"/>
      <c r="P28" s="25"/>
      <c r="Q28" s="25"/>
      <c r="R28" s="25">
        <f t="shared" si="1"/>
        <v>73000</v>
      </c>
      <c r="S28" s="105">
        <v>37495.96</v>
      </c>
      <c r="T28" s="27">
        <f t="shared" si="2"/>
        <v>0.51364328767123291</v>
      </c>
      <c r="U28" s="106">
        <v>37495.96</v>
      </c>
      <c r="V28" s="27">
        <f t="shared" si="3"/>
        <v>0.51364328767123291</v>
      </c>
      <c r="W28" s="105">
        <v>37495.96</v>
      </c>
      <c r="X28" s="27">
        <f t="shared" si="4"/>
        <v>0.51364328767123291</v>
      </c>
      <c r="Y28" s="5"/>
      <c r="Z28" s="5"/>
      <c r="AA28" s="5"/>
    </row>
    <row r="29" spans="1:27" ht="63" hidden="1" customHeight="1">
      <c r="A29" s="21" t="s">
        <v>48</v>
      </c>
      <c r="B29" s="22" t="s">
        <v>49</v>
      </c>
      <c r="C29" s="22" t="s">
        <v>83</v>
      </c>
      <c r="D29" s="22" t="s">
        <v>84</v>
      </c>
      <c r="E29" s="22" t="s">
        <v>65</v>
      </c>
      <c r="F29" s="22" t="s">
        <v>85</v>
      </c>
      <c r="G29" s="22" t="s">
        <v>54</v>
      </c>
      <c r="H29" s="22" t="s">
        <v>82</v>
      </c>
      <c r="I29" s="22" t="s">
        <v>63</v>
      </c>
      <c r="J29" s="30">
        <v>1</v>
      </c>
      <c r="K29" s="24"/>
      <c r="L29" s="24"/>
      <c r="M29" s="24"/>
      <c r="N29" s="25">
        <f t="shared" si="0"/>
        <v>0</v>
      </c>
      <c r="O29" s="25"/>
      <c r="P29" s="25"/>
      <c r="Q29" s="25"/>
      <c r="R29" s="25">
        <f t="shared" si="1"/>
        <v>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  <c r="Y29" s="5"/>
      <c r="Z29" s="5"/>
      <c r="AA29" s="5"/>
    </row>
    <row r="30" spans="1:27" ht="16.5" customHeight="1">
      <c r="A30" s="141" t="s">
        <v>86</v>
      </c>
      <c r="B30" s="127"/>
      <c r="C30" s="127"/>
      <c r="D30" s="127"/>
      <c r="E30" s="127"/>
      <c r="F30" s="127"/>
      <c r="G30" s="127"/>
      <c r="H30" s="127"/>
      <c r="I30" s="127"/>
      <c r="J30" s="128"/>
      <c r="K30" s="38">
        <f t="shared" ref="K30:N30" si="5">SUM(K14:K29)</f>
        <v>943786000</v>
      </c>
      <c r="L30" s="38">
        <f t="shared" si="5"/>
        <v>42427850.079999998</v>
      </c>
      <c r="M30" s="38">
        <f t="shared" si="5"/>
        <v>42427850.079999998</v>
      </c>
      <c r="N30" s="38">
        <f t="shared" si="5"/>
        <v>943786000</v>
      </c>
      <c r="O30" s="38">
        <f t="shared" ref="O30:P30" si="6">SUM(O14:O28)</f>
        <v>0</v>
      </c>
      <c r="P30" s="38">
        <f t="shared" si="6"/>
        <v>0</v>
      </c>
      <c r="Q30" s="38">
        <f t="shared" ref="Q30:S30" si="7">SUM(Q14:Q29)</f>
        <v>-30626500</v>
      </c>
      <c r="R30" s="38">
        <f t="shared" si="7"/>
        <v>913159500</v>
      </c>
      <c r="S30" s="38">
        <f t="shared" si="7"/>
        <v>529367082.75999999</v>
      </c>
      <c r="T30" s="39">
        <f t="shared" si="2"/>
        <v>0.57970933091097443</v>
      </c>
      <c r="U30" s="38">
        <f>SUM(U14:U29)</f>
        <v>529176275.53999996</v>
      </c>
      <c r="V30" s="39">
        <f t="shared" si="3"/>
        <v>0.57950037812671273</v>
      </c>
      <c r="W30" s="38">
        <f>SUM(W14:W29)</f>
        <v>527478965.75</v>
      </c>
      <c r="X30" s="39">
        <f t="shared" si="4"/>
        <v>0.57764165597576322</v>
      </c>
      <c r="Y30" s="5"/>
      <c r="Z30" s="5"/>
      <c r="AA30" s="5"/>
    </row>
    <row r="31" spans="1:27" ht="1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9"/>
      <c r="W31" s="38"/>
      <c r="X31" s="39"/>
      <c r="Y31" s="5"/>
      <c r="Z31" s="5"/>
      <c r="AA31" s="5"/>
    </row>
    <row r="32" spans="1:27" ht="1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37"/>
      <c r="U32" s="42"/>
      <c r="V32" s="37"/>
      <c r="W32" s="42"/>
      <c r="X32" s="37"/>
      <c r="Y32" s="5"/>
      <c r="Z32" s="5"/>
      <c r="AA32" s="5"/>
    </row>
    <row r="33" spans="1:27" ht="54" customHeight="1">
      <c r="A33" s="21" t="s">
        <v>87</v>
      </c>
      <c r="B33" s="32" t="s">
        <v>88</v>
      </c>
      <c r="C33" s="32" t="s">
        <v>50</v>
      </c>
      <c r="D33" s="32" t="s">
        <v>89</v>
      </c>
      <c r="E33" s="32" t="s">
        <v>90</v>
      </c>
      <c r="F33" s="32" t="s">
        <v>91</v>
      </c>
      <c r="G33" s="32" t="s">
        <v>54</v>
      </c>
      <c r="H33" s="113" t="s">
        <v>148</v>
      </c>
      <c r="I33" s="113" t="s">
        <v>158</v>
      </c>
      <c r="J33" s="43">
        <v>4</v>
      </c>
      <c r="K33" s="111">
        <v>4000000</v>
      </c>
      <c r="L33" s="105">
        <v>0</v>
      </c>
      <c r="M33" s="105">
        <v>4000000</v>
      </c>
      <c r="N33" s="25">
        <f t="shared" ref="N33:N81" si="8">K33+L33-M33</f>
        <v>0</v>
      </c>
      <c r="O33" s="25"/>
      <c r="P33" s="25"/>
      <c r="Q33" s="25"/>
      <c r="R33" s="25">
        <f t="shared" ref="R33:R81" si="9">N33-O33+P33+Q33</f>
        <v>0</v>
      </c>
      <c r="S33" s="111">
        <v>0</v>
      </c>
      <c r="T33" s="27">
        <f t="shared" ref="T33:T83" si="10">IF(R33&gt;0,S33/R33,0)</f>
        <v>0</v>
      </c>
      <c r="U33" s="112">
        <v>0</v>
      </c>
      <c r="V33" s="27">
        <f t="shared" ref="V33:V83" si="11">IF(R33&gt;0,U33/R33,0)</f>
        <v>0</v>
      </c>
      <c r="W33" s="105">
        <v>0</v>
      </c>
      <c r="X33" s="27">
        <f t="shared" ref="X33:X83" si="12">IF(R33&gt;0,W33/R33,0)</f>
        <v>0</v>
      </c>
      <c r="Y33" s="5"/>
      <c r="Z33" s="5"/>
      <c r="AA33" s="5"/>
    </row>
    <row r="34" spans="1:27" ht="54" hidden="1" customHeight="1">
      <c r="A34" s="21" t="s">
        <v>87</v>
      </c>
      <c r="B34" s="32" t="s">
        <v>88</v>
      </c>
      <c r="C34" s="32" t="s">
        <v>50</v>
      </c>
      <c r="D34" s="32" t="s">
        <v>93</v>
      </c>
      <c r="E34" s="32" t="s">
        <v>90</v>
      </c>
      <c r="F34" s="32" t="s">
        <v>91</v>
      </c>
      <c r="G34" s="32" t="s">
        <v>54</v>
      </c>
      <c r="H34" s="32" t="s">
        <v>94</v>
      </c>
      <c r="I34" s="113" t="s">
        <v>158</v>
      </c>
      <c r="J34" s="23">
        <v>3</v>
      </c>
      <c r="K34" s="44"/>
      <c r="L34" s="24"/>
      <c r="M34" s="24"/>
      <c r="N34" s="25">
        <f t="shared" si="8"/>
        <v>0</v>
      </c>
      <c r="O34" s="25"/>
      <c r="P34" s="25"/>
      <c r="Q34" s="25"/>
      <c r="R34" s="25">
        <f t="shared" si="9"/>
        <v>0</v>
      </c>
      <c r="S34" s="44"/>
      <c r="T34" s="27">
        <f t="shared" si="10"/>
        <v>0</v>
      </c>
      <c r="U34" s="28"/>
      <c r="V34" s="27">
        <f t="shared" si="11"/>
        <v>0</v>
      </c>
      <c r="W34" s="24"/>
      <c r="X34" s="27">
        <f t="shared" si="12"/>
        <v>0</v>
      </c>
      <c r="Y34" s="5"/>
      <c r="Z34" s="5"/>
      <c r="AA34" s="5"/>
    </row>
    <row r="35" spans="1:27" ht="54" hidden="1" customHeight="1">
      <c r="A35" s="21" t="s">
        <v>87</v>
      </c>
      <c r="B35" s="32" t="s">
        <v>88</v>
      </c>
      <c r="C35" s="32" t="s">
        <v>50</v>
      </c>
      <c r="D35" s="32" t="s">
        <v>95</v>
      </c>
      <c r="E35" s="32" t="s">
        <v>90</v>
      </c>
      <c r="F35" s="32" t="s">
        <v>91</v>
      </c>
      <c r="G35" s="32" t="s">
        <v>54</v>
      </c>
      <c r="H35" s="32" t="s">
        <v>94</v>
      </c>
      <c r="I35" s="113" t="s">
        <v>158</v>
      </c>
      <c r="J35" s="43">
        <v>4</v>
      </c>
      <c r="K35" s="44"/>
      <c r="L35" s="24"/>
      <c r="M35" s="24"/>
      <c r="N35" s="25">
        <f t="shared" si="8"/>
        <v>0</v>
      </c>
      <c r="O35" s="25"/>
      <c r="P35" s="25"/>
      <c r="Q35" s="25"/>
      <c r="R35" s="25">
        <f t="shared" si="9"/>
        <v>0</v>
      </c>
      <c r="S35" s="44"/>
      <c r="T35" s="27">
        <f t="shared" si="10"/>
        <v>0</v>
      </c>
      <c r="U35" s="45"/>
      <c r="V35" s="27">
        <f t="shared" si="11"/>
        <v>0</v>
      </c>
      <c r="W35" s="24"/>
      <c r="X35" s="27">
        <f t="shared" si="12"/>
        <v>0</v>
      </c>
      <c r="Y35" s="5"/>
      <c r="Z35" s="5"/>
      <c r="AA35" s="5"/>
    </row>
    <row r="36" spans="1:27" ht="54" customHeight="1">
      <c r="A36" s="21" t="s">
        <v>87</v>
      </c>
      <c r="B36" s="32" t="s">
        <v>88</v>
      </c>
      <c r="C36" s="32" t="s">
        <v>50</v>
      </c>
      <c r="D36" s="113" t="s">
        <v>159</v>
      </c>
      <c r="E36" s="32" t="s">
        <v>90</v>
      </c>
      <c r="F36" s="32" t="s">
        <v>91</v>
      </c>
      <c r="G36" s="32" t="s">
        <v>54</v>
      </c>
      <c r="H36" s="113" t="s">
        <v>160</v>
      </c>
      <c r="I36" s="113" t="s">
        <v>158</v>
      </c>
      <c r="J36" s="119">
        <v>3</v>
      </c>
      <c r="K36" s="111">
        <v>0</v>
      </c>
      <c r="L36" s="105">
        <v>30090</v>
      </c>
      <c r="M36" s="105">
        <v>0</v>
      </c>
      <c r="N36" s="25">
        <f t="shared" si="8"/>
        <v>30090</v>
      </c>
      <c r="O36" s="25"/>
      <c r="P36" s="25"/>
      <c r="Q36" s="25"/>
      <c r="R36" s="25">
        <f t="shared" si="9"/>
        <v>30090</v>
      </c>
      <c r="S36" s="111">
        <v>30090</v>
      </c>
      <c r="T36" s="27">
        <f t="shared" si="10"/>
        <v>1</v>
      </c>
      <c r="U36" s="110">
        <v>0</v>
      </c>
      <c r="V36" s="27">
        <f t="shared" si="11"/>
        <v>0</v>
      </c>
      <c r="W36" s="105">
        <v>0</v>
      </c>
      <c r="X36" s="27">
        <f t="shared" si="12"/>
        <v>0</v>
      </c>
      <c r="Y36" s="5"/>
      <c r="Z36" s="5"/>
      <c r="AA36" s="5"/>
    </row>
    <row r="37" spans="1:27" ht="54" hidden="1" customHeight="1">
      <c r="A37" s="21" t="s">
        <v>87</v>
      </c>
      <c r="B37" s="32" t="s">
        <v>88</v>
      </c>
      <c r="C37" s="32" t="s">
        <v>50</v>
      </c>
      <c r="D37" s="32" t="s">
        <v>96</v>
      </c>
      <c r="E37" s="32" t="s">
        <v>90</v>
      </c>
      <c r="F37" s="32" t="s">
        <v>91</v>
      </c>
      <c r="G37" s="32" t="s">
        <v>54</v>
      </c>
      <c r="H37" s="32" t="s">
        <v>92</v>
      </c>
      <c r="I37" s="113" t="s">
        <v>158</v>
      </c>
      <c r="J37" s="119">
        <v>3</v>
      </c>
      <c r="K37" s="111"/>
      <c r="L37" s="24"/>
      <c r="M37" s="24"/>
      <c r="N37" s="25">
        <f t="shared" si="8"/>
        <v>0</v>
      </c>
      <c r="O37" s="25"/>
      <c r="P37" s="25"/>
      <c r="Q37" s="25"/>
      <c r="R37" s="25">
        <f t="shared" si="9"/>
        <v>0</v>
      </c>
      <c r="S37" s="44"/>
      <c r="T37" s="27">
        <f t="shared" si="10"/>
        <v>0</v>
      </c>
      <c r="U37" s="54"/>
      <c r="V37" s="27">
        <f t="shared" si="11"/>
        <v>0</v>
      </c>
      <c r="W37" s="24"/>
      <c r="X37" s="27">
        <f t="shared" si="12"/>
        <v>0</v>
      </c>
      <c r="Y37" s="5"/>
      <c r="Z37" s="5"/>
      <c r="AA37" s="5"/>
    </row>
    <row r="38" spans="1:27" ht="54" hidden="1" customHeight="1">
      <c r="A38" s="46" t="s">
        <v>87</v>
      </c>
      <c r="B38" s="32" t="s">
        <v>88</v>
      </c>
      <c r="C38" s="116" t="s">
        <v>50</v>
      </c>
      <c r="D38" s="116" t="s">
        <v>96</v>
      </c>
      <c r="E38" s="32" t="s">
        <v>90</v>
      </c>
      <c r="F38" s="32" t="s">
        <v>91</v>
      </c>
      <c r="G38" s="116" t="s">
        <v>54</v>
      </c>
      <c r="H38" s="116" t="s">
        <v>94</v>
      </c>
      <c r="I38" s="113" t="s">
        <v>158</v>
      </c>
      <c r="J38" s="123">
        <v>4</v>
      </c>
      <c r="K38" s="111"/>
      <c r="L38" s="49"/>
      <c r="M38" s="49"/>
      <c r="N38" s="25">
        <f t="shared" si="8"/>
        <v>0</v>
      </c>
      <c r="O38" s="50"/>
      <c r="P38" s="50"/>
      <c r="Q38" s="50"/>
      <c r="R38" s="25">
        <f t="shared" si="9"/>
        <v>0</v>
      </c>
      <c r="S38" s="51"/>
      <c r="T38" s="27">
        <f t="shared" si="10"/>
        <v>0</v>
      </c>
      <c r="U38" s="124"/>
      <c r="V38" s="27">
        <f t="shared" si="11"/>
        <v>0</v>
      </c>
      <c r="W38" s="49"/>
      <c r="X38" s="27">
        <f t="shared" si="12"/>
        <v>0</v>
      </c>
      <c r="Y38" s="5"/>
      <c r="Z38" s="5"/>
      <c r="AA38" s="5"/>
    </row>
    <row r="39" spans="1:27" ht="54" customHeight="1">
      <c r="A39" s="21" t="s">
        <v>87</v>
      </c>
      <c r="B39" s="32" t="s">
        <v>88</v>
      </c>
      <c r="C39" s="32" t="s">
        <v>50</v>
      </c>
      <c r="D39" s="32" t="s">
        <v>97</v>
      </c>
      <c r="E39" s="32" t="s">
        <v>90</v>
      </c>
      <c r="F39" s="32" t="s">
        <v>91</v>
      </c>
      <c r="G39" s="32" t="s">
        <v>54</v>
      </c>
      <c r="H39" s="113" t="s">
        <v>148</v>
      </c>
      <c r="I39" s="113" t="s">
        <v>158</v>
      </c>
      <c r="J39" s="119">
        <v>3</v>
      </c>
      <c r="K39" s="107">
        <v>0</v>
      </c>
      <c r="L39" s="105">
        <v>564822.43999999994</v>
      </c>
      <c r="M39" s="105">
        <v>0</v>
      </c>
      <c r="N39" s="25">
        <f t="shared" si="8"/>
        <v>564822.43999999994</v>
      </c>
      <c r="O39" s="26"/>
      <c r="P39" s="26"/>
      <c r="Q39" s="26"/>
      <c r="R39" s="25">
        <f t="shared" si="9"/>
        <v>564822.43999999994</v>
      </c>
      <c r="S39" s="109">
        <v>564822.43999999994</v>
      </c>
      <c r="T39" s="27">
        <f t="shared" si="10"/>
        <v>1</v>
      </c>
      <c r="U39" s="110">
        <f>540951.55</f>
        <v>540951.55000000005</v>
      </c>
      <c r="V39" s="27">
        <f t="shared" si="11"/>
        <v>0.95773735547759065</v>
      </c>
      <c r="W39" s="105">
        <v>540951.55000000005</v>
      </c>
      <c r="X39" s="27">
        <f t="shared" si="12"/>
        <v>0.95773735547759065</v>
      </c>
      <c r="Y39" s="5"/>
      <c r="Z39" s="5"/>
      <c r="AA39" s="5"/>
    </row>
    <row r="40" spans="1:27" ht="54" customHeight="1">
      <c r="A40" s="21" t="s">
        <v>87</v>
      </c>
      <c r="B40" s="32" t="s">
        <v>88</v>
      </c>
      <c r="C40" s="32" t="s">
        <v>50</v>
      </c>
      <c r="D40" s="32" t="s">
        <v>97</v>
      </c>
      <c r="E40" s="32" t="s">
        <v>90</v>
      </c>
      <c r="F40" s="32" t="s">
        <v>91</v>
      </c>
      <c r="G40" s="32" t="s">
        <v>54</v>
      </c>
      <c r="H40" s="113" t="s">
        <v>148</v>
      </c>
      <c r="I40" s="113" t="s">
        <v>158</v>
      </c>
      <c r="J40" s="43">
        <v>4</v>
      </c>
      <c r="K40" s="107">
        <v>0</v>
      </c>
      <c r="L40" s="105">
        <v>675695.59</v>
      </c>
      <c r="M40" s="105">
        <v>0</v>
      </c>
      <c r="N40" s="25">
        <f t="shared" si="8"/>
        <v>675695.59</v>
      </c>
      <c r="O40" s="26"/>
      <c r="P40" s="26"/>
      <c r="Q40" s="26"/>
      <c r="R40" s="25">
        <f t="shared" si="9"/>
        <v>675695.59</v>
      </c>
      <c r="S40" s="36">
        <f>305000+370695.59</f>
        <v>675695.59000000008</v>
      </c>
      <c r="T40" s="27">
        <f t="shared" si="10"/>
        <v>1.0000000000000002</v>
      </c>
      <c r="U40" s="112">
        <v>370695.59</v>
      </c>
      <c r="V40" s="27">
        <f t="shared" si="11"/>
        <v>0.54861330381037421</v>
      </c>
      <c r="W40" s="105">
        <v>370695.59</v>
      </c>
      <c r="X40" s="27">
        <f t="shared" si="12"/>
        <v>0.54861330381037421</v>
      </c>
      <c r="Y40" s="5"/>
      <c r="Z40" s="5"/>
      <c r="AA40" s="5"/>
    </row>
    <row r="41" spans="1:27" ht="54" customHeight="1">
      <c r="A41" s="21" t="s">
        <v>87</v>
      </c>
      <c r="B41" s="32" t="s">
        <v>88</v>
      </c>
      <c r="C41" s="32" t="s">
        <v>50</v>
      </c>
      <c r="D41" s="32" t="s">
        <v>97</v>
      </c>
      <c r="E41" s="32" t="s">
        <v>90</v>
      </c>
      <c r="F41" s="32" t="s">
        <v>91</v>
      </c>
      <c r="G41" s="32" t="s">
        <v>54</v>
      </c>
      <c r="H41" s="113" t="s">
        <v>160</v>
      </c>
      <c r="I41" s="113" t="s">
        <v>158</v>
      </c>
      <c r="J41" s="43">
        <v>4</v>
      </c>
      <c r="K41" s="107">
        <v>0</v>
      </c>
      <c r="L41" s="105">
        <v>134178.35</v>
      </c>
      <c r="M41" s="105">
        <v>0</v>
      </c>
      <c r="N41" s="25">
        <f t="shared" si="8"/>
        <v>134178.35</v>
      </c>
      <c r="O41" s="26"/>
      <c r="P41" s="26"/>
      <c r="Q41" s="26"/>
      <c r="R41" s="25">
        <f t="shared" si="9"/>
        <v>134178.35</v>
      </c>
      <c r="S41" s="109">
        <v>0</v>
      </c>
      <c r="T41" s="27">
        <f t="shared" si="10"/>
        <v>0</v>
      </c>
      <c r="U41" s="112">
        <v>0</v>
      </c>
      <c r="V41" s="27">
        <f t="shared" si="11"/>
        <v>0</v>
      </c>
      <c r="W41" s="105">
        <v>0</v>
      </c>
      <c r="X41" s="27">
        <f t="shared" si="12"/>
        <v>0</v>
      </c>
      <c r="Y41" s="5"/>
      <c r="Z41" s="5"/>
      <c r="AA41" s="5"/>
    </row>
    <row r="42" spans="1:27" ht="54" customHeight="1">
      <c r="A42" s="21" t="s">
        <v>87</v>
      </c>
      <c r="B42" s="32" t="s">
        <v>88</v>
      </c>
      <c r="C42" s="32" t="s">
        <v>50</v>
      </c>
      <c r="D42" s="113" t="s">
        <v>98</v>
      </c>
      <c r="E42" s="32" t="s">
        <v>90</v>
      </c>
      <c r="F42" s="113" t="s">
        <v>99</v>
      </c>
      <c r="G42" s="32" t="s">
        <v>54</v>
      </c>
      <c r="H42" s="113" t="s">
        <v>148</v>
      </c>
      <c r="I42" s="113" t="s">
        <v>158</v>
      </c>
      <c r="J42" s="43">
        <v>4</v>
      </c>
      <c r="K42" s="107">
        <v>16520000</v>
      </c>
      <c r="L42" s="105">
        <v>0</v>
      </c>
      <c r="M42" s="105">
        <v>10714766.68</v>
      </c>
      <c r="N42" s="25">
        <f t="shared" si="8"/>
        <v>5805233.3200000003</v>
      </c>
      <c r="O42" s="25"/>
      <c r="P42" s="25"/>
      <c r="Q42" s="25"/>
      <c r="R42" s="25">
        <f t="shared" si="9"/>
        <v>5805233.3200000003</v>
      </c>
      <c r="S42" s="107">
        <v>0</v>
      </c>
      <c r="T42" s="27">
        <f t="shared" si="10"/>
        <v>0</v>
      </c>
      <c r="U42" s="112">
        <v>0</v>
      </c>
      <c r="V42" s="27">
        <f t="shared" si="11"/>
        <v>0</v>
      </c>
      <c r="W42" s="105">
        <v>0</v>
      </c>
      <c r="X42" s="27">
        <f t="shared" si="12"/>
        <v>0</v>
      </c>
      <c r="Y42" s="5"/>
      <c r="Z42" s="5"/>
      <c r="AA42" s="5"/>
    </row>
    <row r="43" spans="1:27" ht="54" customHeight="1">
      <c r="A43" s="21" t="s">
        <v>87</v>
      </c>
      <c r="B43" s="32" t="s">
        <v>88</v>
      </c>
      <c r="C43" s="32" t="s">
        <v>50</v>
      </c>
      <c r="D43" s="113" t="s">
        <v>149</v>
      </c>
      <c r="E43" s="32" t="s">
        <v>90</v>
      </c>
      <c r="F43" s="113" t="s">
        <v>99</v>
      </c>
      <c r="G43" s="32" t="s">
        <v>54</v>
      </c>
      <c r="H43" s="113" t="s">
        <v>148</v>
      </c>
      <c r="I43" s="113" t="s">
        <v>158</v>
      </c>
      <c r="J43" s="43">
        <v>4</v>
      </c>
      <c r="K43" s="107">
        <v>0</v>
      </c>
      <c r="L43" s="105">
        <v>3034594.58</v>
      </c>
      <c r="M43" s="105">
        <v>0</v>
      </c>
      <c r="N43" s="25">
        <f t="shared" si="8"/>
        <v>3034594.58</v>
      </c>
      <c r="O43" s="25"/>
      <c r="P43" s="25"/>
      <c r="Q43" s="25"/>
      <c r="R43" s="25">
        <f t="shared" si="9"/>
        <v>3034594.58</v>
      </c>
      <c r="S43" s="107">
        <v>3034594.58</v>
      </c>
      <c r="T43" s="27">
        <f t="shared" si="10"/>
        <v>1</v>
      </c>
      <c r="U43" s="112">
        <v>1910669.62</v>
      </c>
      <c r="V43" s="27">
        <f t="shared" si="11"/>
        <v>0.6296292864267885</v>
      </c>
      <c r="W43" s="105">
        <v>1910669.62</v>
      </c>
      <c r="X43" s="27">
        <f t="shared" si="12"/>
        <v>0.6296292864267885</v>
      </c>
      <c r="Y43" s="5"/>
      <c r="Z43" s="5"/>
      <c r="AA43" s="5"/>
    </row>
    <row r="44" spans="1:27" ht="54" customHeight="1">
      <c r="A44" s="118" t="s">
        <v>87</v>
      </c>
      <c r="B44" s="32" t="s">
        <v>88</v>
      </c>
      <c r="C44" s="113" t="s">
        <v>50</v>
      </c>
      <c r="D44" s="113" t="s">
        <v>149</v>
      </c>
      <c r="E44" s="32" t="s">
        <v>90</v>
      </c>
      <c r="F44" s="113" t="s">
        <v>99</v>
      </c>
      <c r="G44" s="113" t="s">
        <v>54</v>
      </c>
      <c r="H44" s="113" t="s">
        <v>160</v>
      </c>
      <c r="I44" s="113" t="s">
        <v>158</v>
      </c>
      <c r="J44" s="121">
        <v>4</v>
      </c>
      <c r="K44" s="107">
        <v>0</v>
      </c>
      <c r="L44" s="105">
        <v>211303.86</v>
      </c>
      <c r="M44" s="105">
        <v>0</v>
      </c>
      <c r="N44" s="25">
        <f t="shared" si="8"/>
        <v>211303.86</v>
      </c>
      <c r="O44" s="25"/>
      <c r="P44" s="25"/>
      <c r="Q44" s="25"/>
      <c r="R44" s="25">
        <f t="shared" si="9"/>
        <v>211303.86</v>
      </c>
      <c r="S44" s="107">
        <v>211303.86</v>
      </c>
      <c r="T44" s="27">
        <f t="shared" si="10"/>
        <v>1</v>
      </c>
      <c r="U44" s="112">
        <v>0</v>
      </c>
      <c r="V44" s="27">
        <f t="shared" si="11"/>
        <v>0</v>
      </c>
      <c r="W44" s="105">
        <v>0</v>
      </c>
      <c r="X44" s="27">
        <f t="shared" si="12"/>
        <v>0</v>
      </c>
      <c r="Y44" s="5"/>
      <c r="Z44" s="5"/>
      <c r="AA44" s="5"/>
    </row>
    <row r="45" spans="1:27" ht="54" customHeight="1">
      <c r="A45" s="21" t="s">
        <v>87</v>
      </c>
      <c r="B45" s="32" t="s">
        <v>88</v>
      </c>
      <c r="C45" s="32" t="s">
        <v>50</v>
      </c>
      <c r="D45" s="113" t="s">
        <v>150</v>
      </c>
      <c r="E45" s="32" t="s">
        <v>90</v>
      </c>
      <c r="F45" s="113" t="s">
        <v>99</v>
      </c>
      <c r="G45" s="32" t="s">
        <v>54</v>
      </c>
      <c r="H45" s="113" t="s">
        <v>148</v>
      </c>
      <c r="I45" s="113" t="s">
        <v>158</v>
      </c>
      <c r="J45" s="43">
        <v>4</v>
      </c>
      <c r="K45" s="107">
        <v>0</v>
      </c>
      <c r="L45" s="105">
        <v>6430080.5599999996</v>
      </c>
      <c r="M45" s="105">
        <v>0</v>
      </c>
      <c r="N45" s="25">
        <f t="shared" si="8"/>
        <v>6430080.5599999996</v>
      </c>
      <c r="O45" s="25"/>
      <c r="P45" s="25"/>
      <c r="Q45" s="25"/>
      <c r="R45" s="25">
        <f t="shared" si="9"/>
        <v>6430080.5599999996</v>
      </c>
      <c r="S45" s="107">
        <v>147314.68</v>
      </c>
      <c r="T45" s="27">
        <f t="shared" si="10"/>
        <v>2.2910238623822157E-2</v>
      </c>
      <c r="U45" s="112">
        <v>147314.68</v>
      </c>
      <c r="V45" s="27">
        <f t="shared" si="11"/>
        <v>2.2910238623822157E-2</v>
      </c>
      <c r="W45" s="105">
        <v>147314.68</v>
      </c>
      <c r="X45" s="27">
        <f t="shared" si="12"/>
        <v>2.2910238623822157E-2</v>
      </c>
      <c r="Y45" s="5"/>
      <c r="Z45" s="5"/>
      <c r="AA45" s="5"/>
    </row>
    <row r="46" spans="1:27" ht="54" customHeight="1">
      <c r="A46" s="118" t="s">
        <v>87</v>
      </c>
      <c r="B46" s="32" t="s">
        <v>88</v>
      </c>
      <c r="C46" s="113" t="s">
        <v>50</v>
      </c>
      <c r="D46" s="113" t="s">
        <v>165</v>
      </c>
      <c r="E46" s="32" t="s">
        <v>90</v>
      </c>
      <c r="F46" s="113" t="s">
        <v>99</v>
      </c>
      <c r="G46" s="113" t="s">
        <v>54</v>
      </c>
      <c r="H46" s="113" t="s">
        <v>160</v>
      </c>
      <c r="I46" s="113" t="s">
        <v>158</v>
      </c>
      <c r="J46" s="121">
        <v>4</v>
      </c>
      <c r="K46" s="107">
        <v>0</v>
      </c>
      <c r="L46" s="105">
        <v>7450000</v>
      </c>
      <c r="M46" s="105">
        <v>0</v>
      </c>
      <c r="N46" s="25">
        <f t="shared" si="8"/>
        <v>7450000</v>
      </c>
      <c r="O46" s="25"/>
      <c r="P46" s="25"/>
      <c r="Q46" s="25"/>
      <c r="R46" s="25">
        <f t="shared" si="9"/>
        <v>7450000</v>
      </c>
      <c r="S46" s="107">
        <v>0</v>
      </c>
      <c r="T46" s="27">
        <f t="shared" si="10"/>
        <v>0</v>
      </c>
      <c r="U46" s="112">
        <v>0</v>
      </c>
      <c r="V46" s="27">
        <f t="shared" si="11"/>
        <v>0</v>
      </c>
      <c r="W46" s="105">
        <v>0</v>
      </c>
      <c r="X46" s="27">
        <f t="shared" si="12"/>
        <v>0</v>
      </c>
      <c r="Y46" s="5"/>
      <c r="Z46" s="5"/>
      <c r="AA46" s="5"/>
    </row>
    <row r="47" spans="1:27" ht="54" customHeight="1">
      <c r="A47" s="21" t="s">
        <v>87</v>
      </c>
      <c r="B47" s="32" t="s">
        <v>88</v>
      </c>
      <c r="C47" s="32" t="s">
        <v>50</v>
      </c>
      <c r="D47" s="113" t="s">
        <v>100</v>
      </c>
      <c r="E47" s="32" t="s">
        <v>90</v>
      </c>
      <c r="F47" s="113" t="s">
        <v>101</v>
      </c>
      <c r="G47" s="32" t="s">
        <v>54</v>
      </c>
      <c r="H47" s="113" t="s">
        <v>148</v>
      </c>
      <c r="I47" s="113" t="s">
        <v>158</v>
      </c>
      <c r="J47" s="43">
        <v>4</v>
      </c>
      <c r="K47" s="107">
        <v>100000</v>
      </c>
      <c r="L47" s="105">
        <v>0</v>
      </c>
      <c r="M47" s="105">
        <v>0</v>
      </c>
      <c r="N47" s="25">
        <f t="shared" si="8"/>
        <v>100000</v>
      </c>
      <c r="O47" s="25"/>
      <c r="P47" s="25"/>
      <c r="Q47" s="25"/>
      <c r="R47" s="25">
        <f t="shared" si="9"/>
        <v>100000</v>
      </c>
      <c r="S47" s="107">
        <v>0</v>
      </c>
      <c r="T47" s="27">
        <f t="shared" si="10"/>
        <v>0</v>
      </c>
      <c r="U47" s="112">
        <v>0</v>
      </c>
      <c r="V47" s="27">
        <f t="shared" si="11"/>
        <v>0</v>
      </c>
      <c r="W47" s="105">
        <v>0</v>
      </c>
      <c r="X47" s="27">
        <f t="shared" si="12"/>
        <v>0</v>
      </c>
      <c r="Y47" s="5"/>
      <c r="Z47" s="5"/>
      <c r="AA47" s="5"/>
    </row>
    <row r="48" spans="1:27" ht="54" customHeight="1">
      <c r="A48" s="21" t="s">
        <v>87</v>
      </c>
      <c r="B48" s="32" t="s">
        <v>88</v>
      </c>
      <c r="C48" s="32" t="s">
        <v>50</v>
      </c>
      <c r="D48" s="32" t="s">
        <v>51</v>
      </c>
      <c r="E48" s="32" t="s">
        <v>90</v>
      </c>
      <c r="F48" s="32" t="s">
        <v>102</v>
      </c>
      <c r="G48" s="32" t="s">
        <v>54</v>
      </c>
      <c r="H48" s="113" t="s">
        <v>148</v>
      </c>
      <c r="I48" s="113" t="s">
        <v>158</v>
      </c>
      <c r="J48" s="119">
        <v>3</v>
      </c>
      <c r="K48" s="33">
        <f>54800000-K49</f>
        <v>53000000</v>
      </c>
      <c r="L48" s="105">
        <v>14546008.210000001</v>
      </c>
      <c r="M48" s="105">
        <f>3837560.35-M49</f>
        <v>3288208.19</v>
      </c>
      <c r="N48" s="25">
        <f t="shared" si="8"/>
        <v>64257800.020000011</v>
      </c>
      <c r="O48" s="25"/>
      <c r="P48" s="25"/>
      <c r="Q48" s="25"/>
      <c r="R48" s="25">
        <f t="shared" si="9"/>
        <v>64257800.020000011</v>
      </c>
      <c r="S48" s="33">
        <f>46130052.56-S49</f>
        <v>45149328.789999999</v>
      </c>
      <c r="T48" s="27">
        <f t="shared" si="10"/>
        <v>0.70262798875696697</v>
      </c>
      <c r="U48" s="54">
        <f>24877126.12-U49</f>
        <v>23928976.350000001</v>
      </c>
      <c r="V48" s="27">
        <f t="shared" si="11"/>
        <v>0.37239022099343883</v>
      </c>
      <c r="W48" s="105">
        <f>24798636.83-W49</f>
        <v>23850487.059999999</v>
      </c>
      <c r="X48" s="27">
        <f t="shared" si="12"/>
        <v>0.37116874609116124</v>
      </c>
      <c r="Y48" s="5"/>
      <c r="Z48" s="5"/>
      <c r="AA48" s="5"/>
    </row>
    <row r="49" spans="1:27" ht="54" customHeight="1">
      <c r="A49" s="21" t="s">
        <v>87</v>
      </c>
      <c r="B49" s="32" t="s">
        <v>88</v>
      </c>
      <c r="C49" s="32" t="s">
        <v>50</v>
      </c>
      <c r="D49" s="32" t="s">
        <v>51</v>
      </c>
      <c r="E49" s="32" t="s">
        <v>90</v>
      </c>
      <c r="F49" s="32" t="s">
        <v>102</v>
      </c>
      <c r="G49" s="32" t="s">
        <v>54</v>
      </c>
      <c r="H49" s="113" t="s">
        <v>148</v>
      </c>
      <c r="I49" s="113" t="s">
        <v>158</v>
      </c>
      <c r="J49" s="43">
        <v>4</v>
      </c>
      <c r="K49" s="107">
        <v>1800000</v>
      </c>
      <c r="L49" s="105">
        <v>0</v>
      </c>
      <c r="M49" s="105">
        <v>549352.16</v>
      </c>
      <c r="N49" s="25">
        <f t="shared" si="8"/>
        <v>1250647.8399999999</v>
      </c>
      <c r="O49" s="25"/>
      <c r="P49" s="25"/>
      <c r="Q49" s="25"/>
      <c r="R49" s="25">
        <f t="shared" si="9"/>
        <v>1250647.8399999999</v>
      </c>
      <c r="S49" s="105">
        <f>13539+349149.77+599000+19035</f>
        <v>980723.77</v>
      </c>
      <c r="T49" s="27">
        <f t="shared" si="10"/>
        <v>0.78417260129758037</v>
      </c>
      <c r="U49" s="112">
        <f>349149.77+599000</f>
        <v>948149.77</v>
      </c>
      <c r="V49" s="27">
        <f t="shared" si="11"/>
        <v>0.75812690005525463</v>
      </c>
      <c r="W49" s="105">
        <f>349149.77+599000</f>
        <v>948149.77</v>
      </c>
      <c r="X49" s="27">
        <f t="shared" si="12"/>
        <v>0.75812690005525463</v>
      </c>
      <c r="Y49" s="5"/>
      <c r="Z49" s="5"/>
      <c r="AA49" s="5"/>
    </row>
    <row r="50" spans="1:27" ht="45">
      <c r="A50" s="21" t="s">
        <v>87</v>
      </c>
      <c r="B50" s="32" t="s">
        <v>88</v>
      </c>
      <c r="C50" s="32" t="s">
        <v>50</v>
      </c>
      <c r="D50" s="32" t="s">
        <v>51</v>
      </c>
      <c r="E50" s="32" t="s">
        <v>90</v>
      </c>
      <c r="F50" s="32" t="s">
        <v>102</v>
      </c>
      <c r="G50" s="32" t="s">
        <v>54</v>
      </c>
      <c r="H50" s="113" t="s">
        <v>160</v>
      </c>
      <c r="I50" s="113" t="s">
        <v>158</v>
      </c>
      <c r="J50" s="119">
        <v>3</v>
      </c>
      <c r="K50" s="107">
        <v>0</v>
      </c>
      <c r="L50" s="108">
        <f>17942209.86-L51</f>
        <v>17277368.859999999</v>
      </c>
      <c r="M50" s="108">
        <v>0</v>
      </c>
      <c r="N50" s="35">
        <f t="shared" si="8"/>
        <v>17277368.859999999</v>
      </c>
      <c r="O50" s="35"/>
      <c r="P50" s="35"/>
      <c r="Q50" s="35"/>
      <c r="R50" s="35">
        <f t="shared" si="9"/>
        <v>17277368.859999999</v>
      </c>
      <c r="S50" s="108">
        <f>13735874.18-S51</f>
        <v>13102747.18</v>
      </c>
      <c r="T50" s="37">
        <f t="shared" si="10"/>
        <v>0.75837630637932685</v>
      </c>
      <c r="U50" s="110">
        <f>2082769.41-U51</f>
        <v>1856030.41</v>
      </c>
      <c r="V50" s="37">
        <f t="shared" si="11"/>
        <v>0.1074255243978162</v>
      </c>
      <c r="W50" s="108">
        <f>2010649.61-W51</f>
        <v>1783910.61</v>
      </c>
      <c r="X50" s="37">
        <f t="shared" si="12"/>
        <v>0.1032512892706743</v>
      </c>
      <c r="Y50" s="5"/>
      <c r="Z50" s="5"/>
      <c r="AA50" s="5"/>
    </row>
    <row r="51" spans="1:27" ht="54" customHeight="1">
      <c r="A51" s="21" t="s">
        <v>87</v>
      </c>
      <c r="B51" s="32" t="s">
        <v>88</v>
      </c>
      <c r="C51" s="32" t="s">
        <v>50</v>
      </c>
      <c r="D51" s="32" t="s">
        <v>51</v>
      </c>
      <c r="E51" s="32" t="s">
        <v>90</v>
      </c>
      <c r="F51" s="32" t="s">
        <v>102</v>
      </c>
      <c r="G51" s="32" t="s">
        <v>54</v>
      </c>
      <c r="H51" s="113" t="s">
        <v>160</v>
      </c>
      <c r="I51" s="113" t="s">
        <v>158</v>
      </c>
      <c r="J51" s="43">
        <v>4</v>
      </c>
      <c r="K51" s="107">
        <v>0</v>
      </c>
      <c r="L51" s="108">
        <f>664841</f>
        <v>664841</v>
      </c>
      <c r="M51" s="108">
        <v>0</v>
      </c>
      <c r="N51" s="35">
        <f t="shared" si="8"/>
        <v>664841</v>
      </c>
      <c r="O51" s="35"/>
      <c r="P51" s="35"/>
      <c r="Q51" s="35"/>
      <c r="R51" s="35">
        <f t="shared" si="9"/>
        <v>664841</v>
      </c>
      <c r="S51" s="108">
        <f>295037+204700+32550+100840</f>
        <v>633127</v>
      </c>
      <c r="T51" s="37">
        <f t="shared" si="10"/>
        <v>0.95229836908373577</v>
      </c>
      <c r="U51" s="112">
        <f>93349+32550+100840</f>
        <v>226739</v>
      </c>
      <c r="V51" s="37">
        <f t="shared" si="11"/>
        <v>0.34104244473490652</v>
      </c>
      <c r="W51" s="108">
        <f>93349+32550+100840</f>
        <v>226739</v>
      </c>
      <c r="X51" s="37">
        <f t="shared" si="12"/>
        <v>0.34104244473490652</v>
      </c>
      <c r="Y51" s="5"/>
      <c r="Z51" s="5"/>
      <c r="AA51" s="5"/>
    </row>
    <row r="52" spans="1:27" ht="54" customHeight="1">
      <c r="A52" s="21" t="s">
        <v>87</v>
      </c>
      <c r="B52" s="32" t="s">
        <v>88</v>
      </c>
      <c r="C52" s="32" t="s">
        <v>50</v>
      </c>
      <c r="D52" s="32" t="s">
        <v>57</v>
      </c>
      <c r="E52" s="32" t="s">
        <v>90</v>
      </c>
      <c r="F52" s="32" t="s">
        <v>103</v>
      </c>
      <c r="G52" s="32" t="s">
        <v>54</v>
      </c>
      <c r="H52" s="113" t="s">
        <v>148</v>
      </c>
      <c r="I52" s="113" t="s">
        <v>158</v>
      </c>
      <c r="J52" s="119">
        <v>3</v>
      </c>
      <c r="K52" s="107">
        <v>65000</v>
      </c>
      <c r="L52" s="108">
        <v>0</v>
      </c>
      <c r="M52" s="108">
        <v>52874.8</v>
      </c>
      <c r="N52" s="35">
        <f t="shared" si="8"/>
        <v>12125.199999999997</v>
      </c>
      <c r="O52" s="35"/>
      <c r="P52" s="35"/>
      <c r="Q52" s="35"/>
      <c r="R52" s="35">
        <f t="shared" si="9"/>
        <v>12125.199999999997</v>
      </c>
      <c r="S52" s="108">
        <v>0</v>
      </c>
      <c r="T52" s="37">
        <f t="shared" si="10"/>
        <v>0</v>
      </c>
      <c r="U52" s="110">
        <v>0</v>
      </c>
      <c r="V52" s="37">
        <f t="shared" si="11"/>
        <v>0</v>
      </c>
      <c r="W52" s="108">
        <v>0</v>
      </c>
      <c r="X52" s="37">
        <f t="shared" si="12"/>
        <v>0</v>
      </c>
      <c r="Y52" s="5"/>
      <c r="Z52" s="5"/>
      <c r="AA52" s="5"/>
    </row>
    <row r="53" spans="1:27" ht="45">
      <c r="A53" s="21" t="s">
        <v>87</v>
      </c>
      <c r="B53" s="32" t="s">
        <v>88</v>
      </c>
      <c r="C53" s="32" t="s">
        <v>50</v>
      </c>
      <c r="D53" s="32" t="s">
        <v>57</v>
      </c>
      <c r="E53" s="32" t="s">
        <v>90</v>
      </c>
      <c r="F53" s="32" t="s">
        <v>103</v>
      </c>
      <c r="G53" s="32" t="s">
        <v>54</v>
      </c>
      <c r="H53" s="113" t="s">
        <v>160</v>
      </c>
      <c r="I53" s="113" t="s">
        <v>158</v>
      </c>
      <c r="J53" s="119">
        <v>3</v>
      </c>
      <c r="K53" s="107">
        <v>0</v>
      </c>
      <c r="L53" s="108">
        <v>6600000</v>
      </c>
      <c r="M53" s="108">
        <v>0</v>
      </c>
      <c r="N53" s="35">
        <f t="shared" si="8"/>
        <v>6600000</v>
      </c>
      <c r="O53" s="35"/>
      <c r="P53" s="35"/>
      <c r="Q53" s="35"/>
      <c r="R53" s="35">
        <f t="shared" si="9"/>
        <v>6600000</v>
      </c>
      <c r="S53" s="109">
        <v>5458570.29</v>
      </c>
      <c r="T53" s="37">
        <f t="shared" si="10"/>
        <v>0.82705610454545453</v>
      </c>
      <c r="U53" s="110">
        <v>5458570.29</v>
      </c>
      <c r="V53" s="37">
        <f t="shared" si="11"/>
        <v>0.82705610454545453</v>
      </c>
      <c r="W53" s="108">
        <v>4498422.47</v>
      </c>
      <c r="X53" s="37">
        <f t="shared" si="12"/>
        <v>0.68157916212121206</v>
      </c>
      <c r="Y53" s="5"/>
      <c r="Z53" s="5"/>
      <c r="AA53" s="5"/>
    </row>
    <row r="54" spans="1:27" ht="63">
      <c r="A54" s="21" t="s">
        <v>87</v>
      </c>
      <c r="B54" s="32" t="s">
        <v>88</v>
      </c>
      <c r="C54" s="32" t="s">
        <v>50</v>
      </c>
      <c r="D54" s="32" t="s">
        <v>105</v>
      </c>
      <c r="E54" s="32" t="s">
        <v>65</v>
      </c>
      <c r="F54" s="32" t="s">
        <v>106</v>
      </c>
      <c r="G54" s="32" t="s">
        <v>54</v>
      </c>
      <c r="H54" s="113" t="s">
        <v>148</v>
      </c>
      <c r="I54" s="113" t="s">
        <v>158</v>
      </c>
      <c r="J54" s="43">
        <v>4</v>
      </c>
      <c r="K54" s="107">
        <v>5000000</v>
      </c>
      <c r="L54" s="108">
        <v>0</v>
      </c>
      <c r="M54" s="108">
        <v>5000000</v>
      </c>
      <c r="N54" s="35">
        <f t="shared" si="8"/>
        <v>0</v>
      </c>
      <c r="O54" s="35"/>
      <c r="P54" s="35"/>
      <c r="Q54" s="35"/>
      <c r="R54" s="35">
        <f t="shared" si="9"/>
        <v>0</v>
      </c>
      <c r="S54" s="109">
        <v>0</v>
      </c>
      <c r="T54" s="37">
        <f t="shared" si="10"/>
        <v>0</v>
      </c>
      <c r="U54" s="112">
        <v>0</v>
      </c>
      <c r="V54" s="37">
        <f t="shared" si="11"/>
        <v>0</v>
      </c>
      <c r="W54" s="108">
        <v>0</v>
      </c>
      <c r="X54" s="37">
        <f t="shared" si="12"/>
        <v>0</v>
      </c>
      <c r="Y54" s="5"/>
      <c r="Z54" s="5"/>
      <c r="AA54" s="5"/>
    </row>
    <row r="55" spans="1:27" ht="63">
      <c r="A55" s="118" t="s">
        <v>87</v>
      </c>
      <c r="B55" s="32" t="s">
        <v>88</v>
      </c>
      <c r="C55" s="113" t="s">
        <v>50</v>
      </c>
      <c r="D55" s="113" t="s">
        <v>152</v>
      </c>
      <c r="E55" s="32" t="s">
        <v>65</v>
      </c>
      <c r="F55" s="113" t="s">
        <v>106</v>
      </c>
      <c r="G55" s="113" t="s">
        <v>54</v>
      </c>
      <c r="H55" s="113" t="s">
        <v>160</v>
      </c>
      <c r="I55" s="113" t="s">
        <v>158</v>
      </c>
      <c r="J55" s="121">
        <v>4</v>
      </c>
      <c r="K55" s="107">
        <v>0</v>
      </c>
      <c r="L55" s="108">
        <v>6700000</v>
      </c>
      <c r="M55" s="108">
        <v>0</v>
      </c>
      <c r="N55" s="35">
        <f t="shared" si="8"/>
        <v>6700000</v>
      </c>
      <c r="O55" s="35"/>
      <c r="P55" s="35"/>
      <c r="Q55" s="35"/>
      <c r="R55" s="35">
        <f t="shared" si="9"/>
        <v>6700000</v>
      </c>
      <c r="S55" s="109">
        <v>6682415.0300000003</v>
      </c>
      <c r="T55" s="37">
        <f t="shared" si="10"/>
        <v>0.99737537761194028</v>
      </c>
      <c r="U55" s="112">
        <v>0</v>
      </c>
      <c r="V55" s="37">
        <f t="shared" si="11"/>
        <v>0</v>
      </c>
      <c r="W55" s="108">
        <v>0</v>
      </c>
      <c r="X55" s="37">
        <f t="shared" si="12"/>
        <v>0</v>
      </c>
      <c r="Y55" s="5"/>
      <c r="Z55" s="5"/>
      <c r="AA55" s="5"/>
    </row>
    <row r="56" spans="1:27" ht="63">
      <c r="A56" s="21" t="s">
        <v>87</v>
      </c>
      <c r="B56" s="32" t="s">
        <v>88</v>
      </c>
      <c r="C56" s="32" t="s">
        <v>50</v>
      </c>
      <c r="D56" s="32" t="s">
        <v>107</v>
      </c>
      <c r="E56" s="32" t="s">
        <v>65</v>
      </c>
      <c r="F56" s="32" t="s">
        <v>108</v>
      </c>
      <c r="G56" s="32" t="s">
        <v>54</v>
      </c>
      <c r="H56" s="113" t="s">
        <v>148</v>
      </c>
      <c r="I56" s="113" t="s">
        <v>158</v>
      </c>
      <c r="J56" s="43">
        <v>4</v>
      </c>
      <c r="K56" s="107">
        <v>100000</v>
      </c>
      <c r="L56" s="108">
        <v>0</v>
      </c>
      <c r="M56" s="108">
        <v>0</v>
      </c>
      <c r="N56" s="35">
        <f t="shared" si="8"/>
        <v>100000</v>
      </c>
      <c r="O56" s="35"/>
      <c r="P56" s="35"/>
      <c r="Q56" s="35"/>
      <c r="R56" s="35">
        <f t="shared" si="9"/>
        <v>100000</v>
      </c>
      <c r="S56" s="109">
        <v>0</v>
      </c>
      <c r="T56" s="37">
        <f t="shared" si="10"/>
        <v>0</v>
      </c>
      <c r="U56" s="112">
        <v>0</v>
      </c>
      <c r="V56" s="37">
        <f t="shared" si="11"/>
        <v>0</v>
      </c>
      <c r="W56" s="108">
        <v>0</v>
      </c>
      <c r="X56" s="37">
        <f t="shared" si="12"/>
        <v>0</v>
      </c>
      <c r="Y56" s="5"/>
      <c r="Z56" s="5"/>
      <c r="AA56" s="5"/>
    </row>
    <row r="57" spans="1:27" ht="54" hidden="1" customHeight="1">
      <c r="A57" s="21" t="s">
        <v>87</v>
      </c>
      <c r="B57" s="32" t="s">
        <v>88</v>
      </c>
      <c r="C57" s="32" t="s">
        <v>50</v>
      </c>
      <c r="D57" s="32" t="s">
        <v>109</v>
      </c>
      <c r="E57" s="32" t="s">
        <v>65</v>
      </c>
      <c r="F57" s="32" t="s">
        <v>110</v>
      </c>
      <c r="G57" s="32" t="s">
        <v>54</v>
      </c>
      <c r="H57" s="32" t="s">
        <v>94</v>
      </c>
      <c r="I57" s="113" t="s">
        <v>158</v>
      </c>
      <c r="J57" s="23">
        <v>3</v>
      </c>
      <c r="K57" s="33"/>
      <c r="L57" s="34"/>
      <c r="M57" s="34"/>
      <c r="N57" s="35">
        <f t="shared" si="8"/>
        <v>0</v>
      </c>
      <c r="O57" s="35"/>
      <c r="P57" s="35"/>
      <c r="Q57" s="35"/>
      <c r="R57" s="35">
        <f t="shared" si="9"/>
        <v>0</v>
      </c>
      <c r="S57" s="36"/>
      <c r="T57" s="37">
        <f t="shared" si="10"/>
        <v>0</v>
      </c>
      <c r="U57" s="28"/>
      <c r="V57" s="37">
        <f t="shared" si="11"/>
        <v>0</v>
      </c>
      <c r="W57" s="34"/>
      <c r="X57" s="37">
        <f t="shared" si="12"/>
        <v>0</v>
      </c>
      <c r="Y57" s="5"/>
      <c r="Z57" s="5"/>
      <c r="AA57" s="5"/>
    </row>
    <row r="58" spans="1:27" ht="63">
      <c r="A58" s="21" t="s">
        <v>87</v>
      </c>
      <c r="B58" s="32" t="s">
        <v>88</v>
      </c>
      <c r="C58" s="32" t="s">
        <v>50</v>
      </c>
      <c r="D58" s="32" t="s">
        <v>111</v>
      </c>
      <c r="E58" s="32" t="s">
        <v>65</v>
      </c>
      <c r="F58" s="32" t="s">
        <v>110</v>
      </c>
      <c r="G58" s="32" t="s">
        <v>54</v>
      </c>
      <c r="H58" s="113" t="s">
        <v>148</v>
      </c>
      <c r="I58" s="113" t="s">
        <v>158</v>
      </c>
      <c r="J58" s="43">
        <v>4</v>
      </c>
      <c r="K58" s="107">
        <v>280000</v>
      </c>
      <c r="L58" s="108">
        <v>0</v>
      </c>
      <c r="M58" s="108">
        <v>49950</v>
      </c>
      <c r="N58" s="35">
        <f t="shared" si="8"/>
        <v>230050</v>
      </c>
      <c r="O58" s="35"/>
      <c r="P58" s="35"/>
      <c r="Q58" s="35"/>
      <c r="R58" s="35">
        <f t="shared" si="9"/>
        <v>230050</v>
      </c>
      <c r="S58" s="109">
        <v>0</v>
      </c>
      <c r="T58" s="37">
        <f t="shared" si="10"/>
        <v>0</v>
      </c>
      <c r="U58" s="112">
        <v>0</v>
      </c>
      <c r="V58" s="37">
        <f t="shared" si="11"/>
        <v>0</v>
      </c>
      <c r="W58" s="108">
        <v>0</v>
      </c>
      <c r="X58" s="37">
        <f t="shared" si="12"/>
        <v>0</v>
      </c>
      <c r="Y58" s="5"/>
      <c r="Z58" s="5"/>
      <c r="AA58" s="5"/>
    </row>
    <row r="59" spans="1:27" ht="63">
      <c r="A59" s="21" t="s">
        <v>87</v>
      </c>
      <c r="B59" s="32" t="s">
        <v>88</v>
      </c>
      <c r="C59" s="32" t="s">
        <v>50</v>
      </c>
      <c r="D59" s="113" t="s">
        <v>109</v>
      </c>
      <c r="E59" s="32" t="s">
        <v>65</v>
      </c>
      <c r="F59" s="32" t="s">
        <v>110</v>
      </c>
      <c r="G59" s="32" t="s">
        <v>54</v>
      </c>
      <c r="H59" s="113" t="s">
        <v>148</v>
      </c>
      <c r="I59" s="113" t="s">
        <v>158</v>
      </c>
      <c r="J59" s="43">
        <v>4</v>
      </c>
      <c r="K59" s="107">
        <v>0</v>
      </c>
      <c r="L59" s="108">
        <v>49950</v>
      </c>
      <c r="M59" s="108">
        <v>0</v>
      </c>
      <c r="N59" s="35">
        <f t="shared" si="8"/>
        <v>49950</v>
      </c>
      <c r="O59" s="35"/>
      <c r="P59" s="35"/>
      <c r="Q59" s="35"/>
      <c r="R59" s="35">
        <f t="shared" si="9"/>
        <v>49950</v>
      </c>
      <c r="S59" s="109">
        <v>49950</v>
      </c>
      <c r="T59" s="37">
        <f t="shared" si="10"/>
        <v>1</v>
      </c>
      <c r="U59" s="112">
        <v>49950</v>
      </c>
      <c r="V59" s="37">
        <f t="shared" si="11"/>
        <v>1</v>
      </c>
      <c r="W59" s="108">
        <v>49950</v>
      </c>
      <c r="X59" s="37">
        <f t="shared" si="12"/>
        <v>1</v>
      </c>
      <c r="Y59" s="5"/>
      <c r="Z59" s="5"/>
      <c r="AA59" s="5"/>
    </row>
    <row r="60" spans="1:27" ht="63">
      <c r="A60" s="21" t="s">
        <v>87</v>
      </c>
      <c r="B60" s="32" t="s">
        <v>88</v>
      </c>
      <c r="C60" s="32" t="s">
        <v>50</v>
      </c>
      <c r="D60" s="32" t="s">
        <v>61</v>
      </c>
      <c r="E60" s="32" t="s">
        <v>65</v>
      </c>
      <c r="F60" s="32" t="s">
        <v>62</v>
      </c>
      <c r="G60" s="32" t="s">
        <v>54</v>
      </c>
      <c r="H60" s="113" t="s">
        <v>151</v>
      </c>
      <c r="I60" s="113" t="s">
        <v>161</v>
      </c>
      <c r="J60" s="119">
        <v>3</v>
      </c>
      <c r="K60" s="107">
        <v>400000</v>
      </c>
      <c r="L60" s="108">
        <v>65776</v>
      </c>
      <c r="M60" s="108">
        <v>65776</v>
      </c>
      <c r="N60" s="35">
        <f t="shared" si="8"/>
        <v>400000</v>
      </c>
      <c r="O60" s="35"/>
      <c r="P60" s="35"/>
      <c r="Q60" s="35"/>
      <c r="R60" s="35">
        <f t="shared" si="9"/>
        <v>400000</v>
      </c>
      <c r="S60" s="109">
        <v>359465.18</v>
      </c>
      <c r="T60" s="37">
        <f t="shared" si="10"/>
        <v>0.89866294999999996</v>
      </c>
      <c r="U60" s="110">
        <v>246996.38</v>
      </c>
      <c r="V60" s="37">
        <f t="shared" si="11"/>
        <v>0.61749094999999998</v>
      </c>
      <c r="W60" s="108">
        <v>245532.28</v>
      </c>
      <c r="X60" s="37">
        <f t="shared" si="12"/>
        <v>0.61383069999999995</v>
      </c>
      <c r="Y60" s="5"/>
      <c r="Z60" s="5"/>
      <c r="AA60" s="5"/>
    </row>
    <row r="61" spans="1:27" ht="63">
      <c r="A61" s="21" t="s">
        <v>87</v>
      </c>
      <c r="B61" s="32" t="s">
        <v>88</v>
      </c>
      <c r="C61" s="32" t="s">
        <v>50</v>
      </c>
      <c r="D61" s="32" t="s">
        <v>61</v>
      </c>
      <c r="E61" s="32" t="s">
        <v>65</v>
      </c>
      <c r="F61" s="32" t="s">
        <v>62</v>
      </c>
      <c r="G61" s="32" t="s">
        <v>54</v>
      </c>
      <c r="H61" s="113" t="s">
        <v>162</v>
      </c>
      <c r="I61" s="113" t="s">
        <v>161</v>
      </c>
      <c r="J61" s="119">
        <v>3</v>
      </c>
      <c r="K61" s="107">
        <v>0</v>
      </c>
      <c r="L61" s="108">
        <v>2302932.66</v>
      </c>
      <c r="M61" s="108">
        <v>20177.95</v>
      </c>
      <c r="N61" s="35">
        <f t="shared" si="8"/>
        <v>2282754.71</v>
      </c>
      <c r="O61" s="35"/>
      <c r="P61" s="35"/>
      <c r="Q61" s="35"/>
      <c r="R61" s="35">
        <f t="shared" si="9"/>
        <v>2282754.71</v>
      </c>
      <c r="S61" s="109">
        <v>77500</v>
      </c>
      <c r="T61" s="37">
        <f t="shared" si="10"/>
        <v>3.3950209218930931E-2</v>
      </c>
      <c r="U61" s="110">
        <v>21080</v>
      </c>
      <c r="V61" s="37">
        <f t="shared" si="11"/>
        <v>9.2344569075492131E-3</v>
      </c>
      <c r="W61" s="108">
        <v>20684</v>
      </c>
      <c r="X61" s="37">
        <f t="shared" si="12"/>
        <v>9.0609822901208687E-3</v>
      </c>
      <c r="Y61" s="5"/>
      <c r="Z61" s="5"/>
      <c r="AA61" s="5"/>
    </row>
    <row r="62" spans="1:27" ht="63">
      <c r="A62" s="21" t="s">
        <v>87</v>
      </c>
      <c r="B62" s="32" t="s">
        <v>88</v>
      </c>
      <c r="C62" s="32" t="s">
        <v>50</v>
      </c>
      <c r="D62" s="32" t="s">
        <v>64</v>
      </c>
      <c r="E62" s="32" t="s">
        <v>65</v>
      </c>
      <c r="F62" s="32" t="s">
        <v>66</v>
      </c>
      <c r="G62" s="32" t="s">
        <v>54</v>
      </c>
      <c r="H62" s="113" t="s">
        <v>148</v>
      </c>
      <c r="I62" s="113" t="s">
        <v>158</v>
      </c>
      <c r="J62" s="119">
        <v>3</v>
      </c>
      <c r="K62" s="107">
        <v>20000</v>
      </c>
      <c r="L62" s="105">
        <v>0</v>
      </c>
      <c r="M62" s="105">
        <v>0</v>
      </c>
      <c r="N62" s="25">
        <f t="shared" si="8"/>
        <v>20000</v>
      </c>
      <c r="O62" s="25"/>
      <c r="P62" s="25"/>
      <c r="Q62" s="25"/>
      <c r="R62" s="25">
        <f t="shared" si="9"/>
        <v>20000</v>
      </c>
      <c r="S62" s="109">
        <v>9864.94</v>
      </c>
      <c r="T62" s="27">
        <f t="shared" si="10"/>
        <v>0.49324700000000005</v>
      </c>
      <c r="U62" s="110">
        <v>9864.94</v>
      </c>
      <c r="V62" s="27">
        <f t="shared" si="11"/>
        <v>0.49324700000000005</v>
      </c>
      <c r="W62" s="105">
        <v>9864.94</v>
      </c>
      <c r="X62" s="27">
        <f t="shared" si="12"/>
        <v>0.49324700000000005</v>
      </c>
      <c r="Y62" s="5"/>
      <c r="Z62" s="5"/>
      <c r="AA62" s="5"/>
    </row>
    <row r="63" spans="1:27" ht="63">
      <c r="A63" s="118" t="s">
        <v>87</v>
      </c>
      <c r="B63" s="32" t="s">
        <v>88</v>
      </c>
      <c r="C63" s="32" t="s">
        <v>50</v>
      </c>
      <c r="D63" s="32" t="s">
        <v>64</v>
      </c>
      <c r="E63" s="32" t="s">
        <v>65</v>
      </c>
      <c r="F63" s="32" t="s">
        <v>66</v>
      </c>
      <c r="G63" s="32" t="s">
        <v>54</v>
      </c>
      <c r="H63" s="113" t="s">
        <v>160</v>
      </c>
      <c r="I63" s="113" t="s">
        <v>158</v>
      </c>
      <c r="J63" s="119">
        <v>3</v>
      </c>
      <c r="K63" s="107">
        <v>0</v>
      </c>
      <c r="L63" s="108">
        <v>565000</v>
      </c>
      <c r="M63" s="108">
        <v>0</v>
      </c>
      <c r="N63" s="35">
        <f t="shared" si="8"/>
        <v>565000</v>
      </c>
      <c r="O63" s="35"/>
      <c r="P63" s="35"/>
      <c r="Q63" s="35"/>
      <c r="R63" s="35">
        <f t="shared" si="9"/>
        <v>565000</v>
      </c>
      <c r="S63" s="109">
        <v>348414.1</v>
      </c>
      <c r="T63" s="37">
        <f t="shared" si="10"/>
        <v>0.61666212389380526</v>
      </c>
      <c r="U63" s="110">
        <v>348414.1</v>
      </c>
      <c r="V63" s="37">
        <f t="shared" si="11"/>
        <v>0.61666212389380526</v>
      </c>
      <c r="W63" s="108">
        <v>287882.14</v>
      </c>
      <c r="X63" s="37">
        <f t="shared" si="12"/>
        <v>0.50952591150442483</v>
      </c>
      <c r="Y63" s="5"/>
      <c r="Z63" s="5"/>
      <c r="AA63" s="5"/>
    </row>
    <row r="64" spans="1:27" ht="63">
      <c r="A64" s="21" t="s">
        <v>87</v>
      </c>
      <c r="B64" s="32" t="s">
        <v>88</v>
      </c>
      <c r="C64" s="32" t="s">
        <v>50</v>
      </c>
      <c r="D64" s="32" t="s">
        <v>113</v>
      </c>
      <c r="E64" s="32" t="s">
        <v>65</v>
      </c>
      <c r="F64" s="32" t="s">
        <v>114</v>
      </c>
      <c r="G64" s="32" t="s">
        <v>54</v>
      </c>
      <c r="H64" s="113" t="s">
        <v>148</v>
      </c>
      <c r="I64" s="113" t="s">
        <v>158</v>
      </c>
      <c r="J64" s="119">
        <v>3</v>
      </c>
      <c r="K64" s="107">
        <f>38480000-K65</f>
        <v>37980000</v>
      </c>
      <c r="L64" s="105">
        <v>4939713.9800000004</v>
      </c>
      <c r="M64" s="105">
        <v>6074516.29</v>
      </c>
      <c r="N64" s="25">
        <f t="shared" si="8"/>
        <v>36845197.690000005</v>
      </c>
      <c r="O64" s="25"/>
      <c r="P64" s="25"/>
      <c r="Q64" s="25"/>
      <c r="R64" s="25">
        <f t="shared" si="9"/>
        <v>36845197.690000005</v>
      </c>
      <c r="S64" s="24">
        <f>33088132.64-S65</f>
        <v>32681151.850000001</v>
      </c>
      <c r="T64" s="27">
        <f t="shared" si="10"/>
        <v>0.88698538477023425</v>
      </c>
      <c r="U64" s="110">
        <f>19472212.07-U65</f>
        <v>19081161.280000001</v>
      </c>
      <c r="V64" s="27">
        <f t="shared" si="11"/>
        <v>0.51787376581721356</v>
      </c>
      <c r="W64" s="105">
        <f>19376454.98-W65</f>
        <v>18985404.190000001</v>
      </c>
      <c r="X64" s="27">
        <f t="shared" si="12"/>
        <v>0.51527486294781766</v>
      </c>
      <c r="Y64" s="5"/>
      <c r="Z64" s="5"/>
      <c r="AA64" s="5"/>
    </row>
    <row r="65" spans="1:27" ht="63">
      <c r="A65" s="21" t="s">
        <v>87</v>
      </c>
      <c r="B65" s="32" t="s">
        <v>88</v>
      </c>
      <c r="C65" s="32" t="s">
        <v>50</v>
      </c>
      <c r="D65" s="32" t="s">
        <v>113</v>
      </c>
      <c r="E65" s="32" t="s">
        <v>65</v>
      </c>
      <c r="F65" s="32" t="s">
        <v>114</v>
      </c>
      <c r="G65" s="32" t="s">
        <v>54</v>
      </c>
      <c r="H65" s="113" t="s">
        <v>148</v>
      </c>
      <c r="I65" s="113" t="s">
        <v>158</v>
      </c>
      <c r="J65" s="43">
        <v>4</v>
      </c>
      <c r="K65" s="107">
        <f>500000</f>
        <v>500000</v>
      </c>
      <c r="L65" s="105">
        <v>0</v>
      </c>
      <c r="M65" s="105">
        <v>0</v>
      </c>
      <c r="N65" s="25">
        <f t="shared" si="8"/>
        <v>500000</v>
      </c>
      <c r="O65" s="25"/>
      <c r="P65" s="25"/>
      <c r="Q65" s="25"/>
      <c r="R65" s="25">
        <f t="shared" si="9"/>
        <v>500000</v>
      </c>
      <c r="S65" s="24">
        <f>10872+86670.4+4280+14830+18597+37200+13216+85093.5+127121.89+9100</f>
        <v>406980.79000000004</v>
      </c>
      <c r="T65" s="27">
        <f t="shared" si="10"/>
        <v>0.81396158000000007</v>
      </c>
      <c r="U65" s="112">
        <f>10872+86670.4+14830+16047+37200+13216+85093.5+127121.89</f>
        <v>391050.79000000004</v>
      </c>
      <c r="V65" s="27">
        <f t="shared" si="11"/>
        <v>0.78210158000000007</v>
      </c>
      <c r="W65" s="105">
        <f>10872+86670.4+14830+16047+37200+13216+85093.5+127121.89</f>
        <v>391050.79000000004</v>
      </c>
      <c r="X65" s="27">
        <f t="shared" si="12"/>
        <v>0.78210158000000007</v>
      </c>
      <c r="Y65" s="5"/>
      <c r="Z65" s="5"/>
      <c r="AA65" s="5"/>
    </row>
    <row r="66" spans="1:27" ht="63">
      <c r="A66" s="21" t="s">
        <v>87</v>
      </c>
      <c r="B66" s="32" t="s">
        <v>88</v>
      </c>
      <c r="C66" s="32" t="s">
        <v>50</v>
      </c>
      <c r="D66" s="32" t="s">
        <v>113</v>
      </c>
      <c r="E66" s="32" t="s">
        <v>65</v>
      </c>
      <c r="F66" s="32" t="s">
        <v>114</v>
      </c>
      <c r="G66" s="32" t="s">
        <v>54</v>
      </c>
      <c r="H66" s="113" t="s">
        <v>160</v>
      </c>
      <c r="I66" s="113" t="s">
        <v>158</v>
      </c>
      <c r="J66" s="119">
        <v>3</v>
      </c>
      <c r="K66" s="107">
        <v>0</v>
      </c>
      <c r="L66" s="105">
        <f>5598784.56-L67</f>
        <v>5314017.5599999996</v>
      </c>
      <c r="M66" s="105">
        <f>150000</f>
        <v>150000</v>
      </c>
      <c r="N66" s="25">
        <f t="shared" si="8"/>
        <v>5164017.5599999996</v>
      </c>
      <c r="O66" s="25"/>
      <c r="P66" s="25"/>
      <c r="Q66" s="25"/>
      <c r="R66" s="25">
        <f t="shared" si="9"/>
        <v>5164017.5599999996</v>
      </c>
      <c r="S66" s="108">
        <f>2200626.81-S67</f>
        <v>1996859.81</v>
      </c>
      <c r="T66" s="27">
        <f t="shared" si="10"/>
        <v>0.38668726176833529</v>
      </c>
      <c r="U66" s="110">
        <v>696750.99</v>
      </c>
      <c r="V66" s="27">
        <f t="shared" si="11"/>
        <v>0.13492421005632677</v>
      </c>
      <c r="W66" s="105">
        <v>676591.71</v>
      </c>
      <c r="X66" s="27">
        <f t="shared" si="12"/>
        <v>0.13102041233182793</v>
      </c>
      <c r="Y66" s="5"/>
      <c r="Z66" s="5"/>
      <c r="AA66" s="5"/>
    </row>
    <row r="67" spans="1:27" ht="63">
      <c r="A67" s="21" t="s">
        <v>87</v>
      </c>
      <c r="B67" s="22" t="s">
        <v>88</v>
      </c>
      <c r="C67" s="22" t="s">
        <v>50</v>
      </c>
      <c r="D67" s="32" t="s">
        <v>113</v>
      </c>
      <c r="E67" s="32" t="s">
        <v>65</v>
      </c>
      <c r="F67" s="32" t="s">
        <v>114</v>
      </c>
      <c r="G67" s="22" t="s">
        <v>54</v>
      </c>
      <c r="H67" s="113" t="s">
        <v>160</v>
      </c>
      <c r="I67" s="113" t="s">
        <v>158</v>
      </c>
      <c r="J67" s="43">
        <v>4</v>
      </c>
      <c r="K67" s="107">
        <v>0</v>
      </c>
      <c r="L67" s="105">
        <f>284767</f>
        <v>284767</v>
      </c>
      <c r="M67" s="105">
        <v>0</v>
      </c>
      <c r="N67" s="25">
        <f t="shared" si="8"/>
        <v>284767</v>
      </c>
      <c r="O67" s="25"/>
      <c r="P67" s="25"/>
      <c r="Q67" s="25"/>
      <c r="R67" s="25">
        <f t="shared" si="9"/>
        <v>284767</v>
      </c>
      <c r="S67" s="108">
        <f>165858+37909</f>
        <v>203767</v>
      </c>
      <c r="T67" s="27">
        <f t="shared" si="10"/>
        <v>0.7155569289980932</v>
      </c>
      <c r="U67" s="112">
        <v>0</v>
      </c>
      <c r="V67" s="27">
        <f t="shared" si="11"/>
        <v>0</v>
      </c>
      <c r="W67" s="105">
        <v>0</v>
      </c>
      <c r="X67" s="27">
        <f t="shared" si="12"/>
        <v>0</v>
      </c>
      <c r="Y67" s="5"/>
      <c r="Z67" s="5"/>
      <c r="AA67" s="5"/>
    </row>
    <row r="68" spans="1:27" ht="63" customHeight="1">
      <c r="A68" s="21" t="s">
        <v>87</v>
      </c>
      <c r="B68" s="22" t="s">
        <v>88</v>
      </c>
      <c r="C68" s="22" t="s">
        <v>50</v>
      </c>
      <c r="D68" s="22" t="s">
        <v>113</v>
      </c>
      <c r="E68" s="32" t="s">
        <v>65</v>
      </c>
      <c r="F68" s="32" t="s">
        <v>114</v>
      </c>
      <c r="G68" s="22" t="s">
        <v>54</v>
      </c>
      <c r="H68" s="113" t="s">
        <v>162</v>
      </c>
      <c r="I68" s="113" t="s">
        <v>161</v>
      </c>
      <c r="J68" s="119">
        <v>3</v>
      </c>
      <c r="K68" s="107">
        <v>0</v>
      </c>
      <c r="L68" s="105">
        <v>773.9</v>
      </c>
      <c r="M68" s="105">
        <v>0</v>
      </c>
      <c r="N68" s="25">
        <f t="shared" si="8"/>
        <v>773.9</v>
      </c>
      <c r="O68" s="25"/>
      <c r="P68" s="25"/>
      <c r="Q68" s="25"/>
      <c r="R68" s="25">
        <f t="shared" si="9"/>
        <v>773.9</v>
      </c>
      <c r="S68" s="108">
        <v>0</v>
      </c>
      <c r="T68" s="27">
        <f t="shared" si="10"/>
        <v>0</v>
      </c>
      <c r="U68" s="110">
        <v>0</v>
      </c>
      <c r="V68" s="27">
        <f t="shared" si="11"/>
        <v>0</v>
      </c>
      <c r="W68" s="105">
        <v>0</v>
      </c>
      <c r="X68" s="27">
        <f t="shared" si="12"/>
        <v>0</v>
      </c>
      <c r="Y68" s="5"/>
      <c r="Z68" s="5"/>
      <c r="AA68" s="5"/>
    </row>
    <row r="69" spans="1:27" ht="63" customHeight="1">
      <c r="A69" s="21" t="s">
        <v>87</v>
      </c>
      <c r="B69" s="22" t="s">
        <v>88</v>
      </c>
      <c r="C69" s="22" t="s">
        <v>50</v>
      </c>
      <c r="D69" s="22" t="s">
        <v>116</v>
      </c>
      <c r="E69" s="32" t="s">
        <v>65</v>
      </c>
      <c r="F69" s="22" t="s">
        <v>117</v>
      </c>
      <c r="G69" s="22" t="s">
        <v>54</v>
      </c>
      <c r="H69" s="104" t="s">
        <v>148</v>
      </c>
      <c r="I69" s="113" t="s">
        <v>158</v>
      </c>
      <c r="J69" s="119">
        <v>3</v>
      </c>
      <c r="K69" s="107">
        <v>600000</v>
      </c>
      <c r="L69" s="105">
        <v>8000</v>
      </c>
      <c r="M69" s="105">
        <v>8000</v>
      </c>
      <c r="N69" s="25">
        <f t="shared" si="8"/>
        <v>600000</v>
      </c>
      <c r="O69" s="25"/>
      <c r="P69" s="25"/>
      <c r="Q69" s="25"/>
      <c r="R69" s="25">
        <f t="shared" si="9"/>
        <v>600000</v>
      </c>
      <c r="S69" s="108">
        <v>308812.43</v>
      </c>
      <c r="T69" s="27">
        <f t="shared" si="10"/>
        <v>0.5146873833333333</v>
      </c>
      <c r="U69" s="110">
        <v>308812.43</v>
      </c>
      <c r="V69" s="27">
        <f t="shared" si="11"/>
        <v>0.5146873833333333</v>
      </c>
      <c r="W69" s="105">
        <v>308812.43</v>
      </c>
      <c r="X69" s="27">
        <f t="shared" si="12"/>
        <v>0.5146873833333333</v>
      </c>
      <c r="Y69" s="5"/>
      <c r="Z69" s="5"/>
      <c r="AA69" s="5"/>
    </row>
    <row r="70" spans="1:27" ht="63" customHeight="1">
      <c r="A70" s="118" t="s">
        <v>87</v>
      </c>
      <c r="B70" s="104" t="s">
        <v>88</v>
      </c>
      <c r="C70" s="104" t="s">
        <v>50</v>
      </c>
      <c r="D70" s="104" t="s">
        <v>163</v>
      </c>
      <c r="E70" s="32" t="s">
        <v>65</v>
      </c>
      <c r="F70" s="22" t="s">
        <v>117</v>
      </c>
      <c r="G70" s="104" t="s">
        <v>54</v>
      </c>
      <c r="H70" s="104" t="s">
        <v>160</v>
      </c>
      <c r="I70" s="113" t="s">
        <v>158</v>
      </c>
      <c r="J70" s="125">
        <v>3</v>
      </c>
      <c r="K70" s="107">
        <v>0</v>
      </c>
      <c r="L70" s="105">
        <v>360000</v>
      </c>
      <c r="M70" s="105">
        <v>0</v>
      </c>
      <c r="N70" s="25">
        <f t="shared" si="8"/>
        <v>360000</v>
      </c>
      <c r="O70" s="25"/>
      <c r="P70" s="25"/>
      <c r="Q70" s="25"/>
      <c r="R70" s="25">
        <f t="shared" si="9"/>
        <v>360000</v>
      </c>
      <c r="S70" s="108">
        <v>16628</v>
      </c>
      <c r="T70" s="27">
        <f t="shared" si="10"/>
        <v>4.618888888888889E-2</v>
      </c>
      <c r="U70" s="110">
        <v>16628</v>
      </c>
      <c r="V70" s="27">
        <f t="shared" si="11"/>
        <v>4.618888888888889E-2</v>
      </c>
      <c r="W70" s="105">
        <v>16628</v>
      </c>
      <c r="X70" s="27">
        <f t="shared" si="12"/>
        <v>4.618888888888889E-2</v>
      </c>
      <c r="Y70" s="5"/>
      <c r="Z70" s="5"/>
      <c r="AA70" s="5"/>
    </row>
    <row r="71" spans="1:27" ht="63" customHeight="1">
      <c r="A71" s="21" t="s">
        <v>87</v>
      </c>
      <c r="B71" s="22" t="s">
        <v>88</v>
      </c>
      <c r="C71" s="22" t="s">
        <v>50</v>
      </c>
      <c r="D71" s="22" t="s">
        <v>71</v>
      </c>
      <c r="E71" s="32" t="s">
        <v>65</v>
      </c>
      <c r="F71" s="22" t="s">
        <v>72</v>
      </c>
      <c r="G71" s="22" t="s">
        <v>54</v>
      </c>
      <c r="H71" s="104" t="s">
        <v>148</v>
      </c>
      <c r="I71" s="113" t="s">
        <v>158</v>
      </c>
      <c r="J71" s="119">
        <v>3</v>
      </c>
      <c r="K71" s="107">
        <v>15000</v>
      </c>
      <c r="L71" s="105">
        <v>0</v>
      </c>
      <c r="M71" s="105">
        <v>0</v>
      </c>
      <c r="N71" s="25">
        <f t="shared" si="8"/>
        <v>15000</v>
      </c>
      <c r="O71" s="25"/>
      <c r="P71" s="25"/>
      <c r="Q71" s="25"/>
      <c r="R71" s="25">
        <f t="shared" si="9"/>
        <v>15000</v>
      </c>
      <c r="S71" s="108">
        <v>0</v>
      </c>
      <c r="T71" s="27">
        <f t="shared" si="10"/>
        <v>0</v>
      </c>
      <c r="U71" s="110">
        <v>0</v>
      </c>
      <c r="V71" s="27">
        <f t="shared" si="11"/>
        <v>0</v>
      </c>
      <c r="W71" s="105">
        <v>0</v>
      </c>
      <c r="X71" s="27">
        <f t="shared" si="12"/>
        <v>0</v>
      </c>
      <c r="Y71" s="5"/>
      <c r="Z71" s="5"/>
      <c r="AA71" s="5"/>
    </row>
    <row r="72" spans="1:27" ht="63" customHeight="1">
      <c r="A72" s="21" t="s">
        <v>87</v>
      </c>
      <c r="B72" s="32" t="s">
        <v>88</v>
      </c>
      <c r="C72" s="32" t="s">
        <v>50</v>
      </c>
      <c r="D72" s="32" t="s">
        <v>71</v>
      </c>
      <c r="E72" s="32" t="s">
        <v>65</v>
      </c>
      <c r="F72" s="32" t="s">
        <v>72</v>
      </c>
      <c r="G72" s="32" t="s">
        <v>54</v>
      </c>
      <c r="H72" s="113" t="s">
        <v>160</v>
      </c>
      <c r="I72" s="113" t="s">
        <v>158</v>
      </c>
      <c r="J72" s="119">
        <v>3</v>
      </c>
      <c r="K72" s="107">
        <v>0</v>
      </c>
      <c r="L72" s="108">
        <v>101000</v>
      </c>
      <c r="M72" s="108">
        <v>0</v>
      </c>
      <c r="N72" s="35">
        <f t="shared" si="8"/>
        <v>101000</v>
      </c>
      <c r="O72" s="35"/>
      <c r="P72" s="35"/>
      <c r="Q72" s="35"/>
      <c r="R72" s="35">
        <f t="shared" si="9"/>
        <v>101000</v>
      </c>
      <c r="S72" s="108">
        <v>77816.42</v>
      </c>
      <c r="T72" s="37">
        <f t="shared" si="10"/>
        <v>0.77045960396039603</v>
      </c>
      <c r="U72" s="110">
        <v>77816.42</v>
      </c>
      <c r="V72" s="37">
        <f t="shared" si="11"/>
        <v>0.77045960396039603</v>
      </c>
      <c r="W72" s="108">
        <v>67803.42</v>
      </c>
      <c r="X72" s="37">
        <f t="shared" si="12"/>
        <v>0.67132099009900992</v>
      </c>
      <c r="Y72" s="5"/>
      <c r="Z72" s="5"/>
      <c r="AA72" s="5"/>
    </row>
    <row r="73" spans="1:27" ht="63" customHeight="1">
      <c r="A73" s="21" t="s">
        <v>87</v>
      </c>
      <c r="B73" s="32" t="s">
        <v>88</v>
      </c>
      <c r="C73" s="32" t="s">
        <v>118</v>
      </c>
      <c r="D73" s="32" t="s">
        <v>119</v>
      </c>
      <c r="E73" s="113" t="s">
        <v>90</v>
      </c>
      <c r="F73" s="32" t="s">
        <v>120</v>
      </c>
      <c r="G73" s="32" t="s">
        <v>54</v>
      </c>
      <c r="H73" s="113" t="s">
        <v>148</v>
      </c>
      <c r="I73" s="113" t="s">
        <v>158</v>
      </c>
      <c r="J73" s="119">
        <v>3</v>
      </c>
      <c r="K73" s="33">
        <f>21000000-K74</f>
        <v>20000000</v>
      </c>
      <c r="L73" s="108">
        <f>4839972.77-L74</f>
        <v>1699672.7699999996</v>
      </c>
      <c r="M73" s="108">
        <f>3760972.77-M74</f>
        <v>3234972.77</v>
      </c>
      <c r="N73" s="35">
        <f t="shared" si="8"/>
        <v>18464700</v>
      </c>
      <c r="O73" s="35"/>
      <c r="P73" s="35"/>
      <c r="Q73" s="35"/>
      <c r="R73" s="35">
        <f t="shared" si="9"/>
        <v>18464700</v>
      </c>
      <c r="S73" s="34">
        <f>18908118.06-S74</f>
        <v>15293818.059999999</v>
      </c>
      <c r="T73" s="37">
        <f t="shared" si="10"/>
        <v>0.82827330311350844</v>
      </c>
      <c r="U73" s="110">
        <f>11396084.59-U74</f>
        <v>7781784.5899999999</v>
      </c>
      <c r="V73" s="37">
        <f t="shared" si="11"/>
        <v>0.42144116015965599</v>
      </c>
      <c r="W73" s="108">
        <f>11396084.59-W74</f>
        <v>7781784.5899999999</v>
      </c>
      <c r="X73" s="37">
        <f t="shared" si="12"/>
        <v>0.42144116015965599</v>
      </c>
      <c r="Y73" s="5"/>
      <c r="Z73" s="5"/>
      <c r="AA73" s="5"/>
    </row>
    <row r="74" spans="1:27" ht="63" customHeight="1">
      <c r="A74" s="21" t="s">
        <v>87</v>
      </c>
      <c r="B74" s="22" t="s">
        <v>88</v>
      </c>
      <c r="C74" s="22" t="s">
        <v>118</v>
      </c>
      <c r="D74" s="22" t="s">
        <v>119</v>
      </c>
      <c r="E74" s="113" t="s">
        <v>90</v>
      </c>
      <c r="F74" s="22" t="s">
        <v>120</v>
      </c>
      <c r="G74" s="22" t="s">
        <v>54</v>
      </c>
      <c r="H74" s="104" t="s">
        <v>148</v>
      </c>
      <c r="I74" s="113" t="s">
        <v>158</v>
      </c>
      <c r="J74" s="43">
        <v>4</v>
      </c>
      <c r="K74" s="107">
        <f>1000000</f>
        <v>1000000</v>
      </c>
      <c r="L74" s="105">
        <f>2246300+894000</f>
        <v>3140300</v>
      </c>
      <c r="M74" s="105">
        <f>526000</f>
        <v>526000</v>
      </c>
      <c r="N74" s="25">
        <f t="shared" si="8"/>
        <v>3614300</v>
      </c>
      <c r="O74" s="25"/>
      <c r="P74" s="25"/>
      <c r="Q74" s="25"/>
      <c r="R74" s="25">
        <f t="shared" si="9"/>
        <v>3614300</v>
      </c>
      <c r="S74" s="108">
        <f>2246300+1368000</f>
        <v>3614300</v>
      </c>
      <c r="T74" s="27">
        <f t="shared" si="10"/>
        <v>1</v>
      </c>
      <c r="U74" s="112">
        <f>2246300+1368000</f>
        <v>3614300</v>
      </c>
      <c r="V74" s="27">
        <f t="shared" si="11"/>
        <v>1</v>
      </c>
      <c r="W74" s="105">
        <f>2246300+1368000</f>
        <v>3614300</v>
      </c>
      <c r="X74" s="27">
        <f t="shared" si="12"/>
        <v>1</v>
      </c>
      <c r="Y74" s="5"/>
      <c r="Z74" s="5"/>
      <c r="AA74" s="5"/>
    </row>
    <row r="75" spans="1:27" ht="63" customHeight="1">
      <c r="A75" s="21" t="s">
        <v>87</v>
      </c>
      <c r="B75" s="22" t="s">
        <v>88</v>
      </c>
      <c r="C75" s="22" t="s">
        <v>118</v>
      </c>
      <c r="D75" s="32" t="s">
        <v>119</v>
      </c>
      <c r="E75" s="113" t="s">
        <v>90</v>
      </c>
      <c r="F75" s="22" t="s">
        <v>120</v>
      </c>
      <c r="G75" s="22" t="s">
        <v>54</v>
      </c>
      <c r="H75" s="104" t="s">
        <v>160</v>
      </c>
      <c r="I75" s="113" t="s">
        <v>158</v>
      </c>
      <c r="J75" s="119">
        <v>3</v>
      </c>
      <c r="K75" s="107">
        <v>0</v>
      </c>
      <c r="L75" s="105">
        <f>100000+1260000</f>
        <v>1360000</v>
      </c>
      <c r="M75" s="105">
        <v>0</v>
      </c>
      <c r="N75" s="25">
        <f t="shared" si="8"/>
        <v>1360000</v>
      </c>
      <c r="O75" s="25"/>
      <c r="P75" s="25"/>
      <c r="Q75" s="25"/>
      <c r="R75" s="25">
        <f t="shared" si="9"/>
        <v>1360000</v>
      </c>
      <c r="S75" s="108">
        <f>36188.31</f>
        <v>36188.31</v>
      </c>
      <c r="T75" s="27">
        <f t="shared" si="10"/>
        <v>2.6609051470588233E-2</v>
      </c>
      <c r="U75" s="110">
        <v>36188.31</v>
      </c>
      <c r="V75" s="27">
        <f t="shared" si="11"/>
        <v>2.6609051470588233E-2</v>
      </c>
      <c r="W75" s="105">
        <v>36188.31</v>
      </c>
      <c r="X75" s="27">
        <f t="shared" si="12"/>
        <v>2.6609051470588233E-2</v>
      </c>
      <c r="Y75" s="5"/>
      <c r="Z75" s="5"/>
      <c r="AA75" s="5"/>
    </row>
    <row r="76" spans="1:27" ht="63" customHeight="1">
      <c r="A76" s="21" t="s">
        <v>87</v>
      </c>
      <c r="B76" s="22" t="s">
        <v>88</v>
      </c>
      <c r="C76" s="22" t="s">
        <v>118</v>
      </c>
      <c r="D76" s="32" t="s">
        <v>119</v>
      </c>
      <c r="E76" s="113" t="s">
        <v>90</v>
      </c>
      <c r="F76" s="22" t="s">
        <v>120</v>
      </c>
      <c r="G76" s="22" t="s">
        <v>54</v>
      </c>
      <c r="H76" s="104" t="s">
        <v>160</v>
      </c>
      <c r="I76" s="113" t="s">
        <v>158</v>
      </c>
      <c r="J76" s="43">
        <v>4</v>
      </c>
      <c r="K76" s="107">
        <v>0</v>
      </c>
      <c r="L76" s="105">
        <v>5602050</v>
      </c>
      <c r="M76" s="105">
        <v>0</v>
      </c>
      <c r="N76" s="25">
        <f t="shared" si="8"/>
        <v>5602050</v>
      </c>
      <c r="O76" s="25"/>
      <c r="P76" s="25"/>
      <c r="Q76" s="25"/>
      <c r="R76" s="25">
        <f t="shared" si="9"/>
        <v>5602050</v>
      </c>
      <c r="S76" s="108">
        <v>5585790</v>
      </c>
      <c r="T76" s="27">
        <f t="shared" si="10"/>
        <v>0.99709749109700918</v>
      </c>
      <c r="U76" s="112">
        <v>0</v>
      </c>
      <c r="V76" s="27">
        <f t="shared" si="11"/>
        <v>0</v>
      </c>
      <c r="W76" s="105">
        <v>0</v>
      </c>
      <c r="X76" s="27">
        <f t="shared" si="12"/>
        <v>0</v>
      </c>
      <c r="Y76" s="5"/>
      <c r="Z76" s="5"/>
      <c r="AA76" s="5"/>
    </row>
    <row r="77" spans="1:27" ht="63" customHeight="1">
      <c r="A77" s="21" t="s">
        <v>87</v>
      </c>
      <c r="B77" s="22" t="s">
        <v>88</v>
      </c>
      <c r="C77" s="22" t="s">
        <v>118</v>
      </c>
      <c r="D77" s="22" t="s">
        <v>121</v>
      </c>
      <c r="E77" s="32" t="s">
        <v>65</v>
      </c>
      <c r="F77" s="22" t="s">
        <v>122</v>
      </c>
      <c r="G77" s="22" t="s">
        <v>54</v>
      </c>
      <c r="H77" s="104" t="s">
        <v>148</v>
      </c>
      <c r="I77" s="113" t="s">
        <v>158</v>
      </c>
      <c r="J77" s="119">
        <v>3</v>
      </c>
      <c r="K77" s="33">
        <f>8700000-K78</f>
        <v>8000000</v>
      </c>
      <c r="L77" s="105">
        <v>0</v>
      </c>
      <c r="M77" s="105">
        <f>1590197.24-M78</f>
        <v>1256197.24</v>
      </c>
      <c r="N77" s="25">
        <f t="shared" si="8"/>
        <v>6743802.7599999998</v>
      </c>
      <c r="O77" s="25"/>
      <c r="P77" s="25"/>
      <c r="Q77" s="25"/>
      <c r="R77" s="25">
        <f t="shared" si="9"/>
        <v>6743802.7599999998</v>
      </c>
      <c r="S77" s="108">
        <f>6597552-S78</f>
        <v>6488643</v>
      </c>
      <c r="T77" s="27">
        <f t="shared" si="10"/>
        <v>0.96216381630947945</v>
      </c>
      <c r="U77" s="110">
        <f>2012984.82-U78</f>
        <v>1904075.82</v>
      </c>
      <c r="V77" s="27">
        <f t="shared" si="11"/>
        <v>0.28234452989843967</v>
      </c>
      <c r="W77" s="105">
        <f>2012984.82-W78</f>
        <v>1904075.82</v>
      </c>
      <c r="X77" s="27">
        <f t="shared" si="12"/>
        <v>0.28234452989843967</v>
      </c>
      <c r="Y77" s="5"/>
      <c r="Z77" s="5"/>
      <c r="AA77" s="5"/>
    </row>
    <row r="78" spans="1:27" ht="63" customHeight="1">
      <c r="A78" s="21" t="s">
        <v>87</v>
      </c>
      <c r="B78" s="22" t="s">
        <v>88</v>
      </c>
      <c r="C78" s="22" t="s">
        <v>118</v>
      </c>
      <c r="D78" s="22" t="s">
        <v>121</v>
      </c>
      <c r="E78" s="32" t="s">
        <v>65</v>
      </c>
      <c r="F78" s="22" t="s">
        <v>122</v>
      </c>
      <c r="G78" s="22" t="s">
        <v>54</v>
      </c>
      <c r="H78" s="104" t="s">
        <v>148</v>
      </c>
      <c r="I78" s="113" t="s">
        <v>158</v>
      </c>
      <c r="J78" s="43">
        <v>4</v>
      </c>
      <c r="K78" s="107">
        <f>200000+500000</f>
        <v>700000</v>
      </c>
      <c r="L78" s="105">
        <v>0</v>
      </c>
      <c r="M78" s="105">
        <f>334000</f>
        <v>334000</v>
      </c>
      <c r="N78" s="25">
        <f t="shared" si="8"/>
        <v>366000</v>
      </c>
      <c r="O78" s="25"/>
      <c r="P78" s="25"/>
      <c r="Q78" s="25"/>
      <c r="R78" s="25">
        <f t="shared" si="9"/>
        <v>366000</v>
      </c>
      <c r="S78" s="108">
        <f>108909</f>
        <v>108909</v>
      </c>
      <c r="T78" s="27">
        <f t="shared" si="10"/>
        <v>0.29756557377049181</v>
      </c>
      <c r="U78" s="112">
        <v>108909</v>
      </c>
      <c r="V78" s="27">
        <f t="shared" si="11"/>
        <v>0.29756557377049181</v>
      </c>
      <c r="W78" s="105">
        <f>108909</f>
        <v>108909</v>
      </c>
      <c r="X78" s="27">
        <f t="shared" si="12"/>
        <v>0.29756557377049181</v>
      </c>
      <c r="Y78" s="5"/>
      <c r="Z78" s="5"/>
      <c r="AA78" s="5"/>
    </row>
    <row r="79" spans="1:27" ht="63" customHeight="1">
      <c r="A79" s="21" t="s">
        <v>87</v>
      </c>
      <c r="B79" s="22" t="s">
        <v>88</v>
      </c>
      <c r="C79" s="22" t="s">
        <v>118</v>
      </c>
      <c r="D79" s="22" t="s">
        <v>121</v>
      </c>
      <c r="E79" s="32" t="s">
        <v>65</v>
      </c>
      <c r="F79" s="22" t="s">
        <v>122</v>
      </c>
      <c r="G79" s="22" t="s">
        <v>54</v>
      </c>
      <c r="H79" s="104" t="s">
        <v>160</v>
      </c>
      <c r="I79" s="113" t="s">
        <v>158</v>
      </c>
      <c r="J79" s="119">
        <v>3</v>
      </c>
      <c r="K79" s="107">
        <v>0</v>
      </c>
      <c r="L79" s="105">
        <v>3186951.68</v>
      </c>
      <c r="M79" s="105">
        <v>0</v>
      </c>
      <c r="N79" s="25">
        <f t="shared" si="8"/>
        <v>3186951.68</v>
      </c>
      <c r="O79" s="25"/>
      <c r="P79" s="25"/>
      <c r="Q79" s="25"/>
      <c r="R79" s="25">
        <f t="shared" si="9"/>
        <v>3186951.68</v>
      </c>
      <c r="S79" s="108">
        <v>2350503.27</v>
      </c>
      <c r="T79" s="27">
        <f t="shared" si="10"/>
        <v>0.73753966360732515</v>
      </c>
      <c r="U79" s="110">
        <v>11392.02</v>
      </c>
      <c r="V79" s="27">
        <f t="shared" si="11"/>
        <v>3.5745819654222056E-3</v>
      </c>
      <c r="W79" s="105">
        <v>11392.02</v>
      </c>
      <c r="X79" s="27">
        <f t="shared" si="12"/>
        <v>3.5745819654222056E-3</v>
      </c>
      <c r="Y79" s="5"/>
      <c r="Z79" s="5"/>
      <c r="AA79" s="5"/>
    </row>
    <row r="80" spans="1:27" ht="63" customHeight="1">
      <c r="A80" s="21" t="s">
        <v>87</v>
      </c>
      <c r="B80" s="22" t="s">
        <v>88</v>
      </c>
      <c r="C80" s="22" t="s">
        <v>76</v>
      </c>
      <c r="D80" s="22" t="s">
        <v>77</v>
      </c>
      <c r="E80" s="32" t="s">
        <v>65</v>
      </c>
      <c r="F80" s="22" t="s">
        <v>123</v>
      </c>
      <c r="G80" s="22" t="s">
        <v>54</v>
      </c>
      <c r="H80" s="104" t="s">
        <v>151</v>
      </c>
      <c r="I80" s="104" t="s">
        <v>161</v>
      </c>
      <c r="J80" s="119">
        <v>3</v>
      </c>
      <c r="K80" s="107">
        <v>998000</v>
      </c>
      <c r="L80" s="105">
        <v>579023</v>
      </c>
      <c r="M80" s="105">
        <v>579023</v>
      </c>
      <c r="N80" s="25">
        <f t="shared" si="8"/>
        <v>998000</v>
      </c>
      <c r="O80" s="25"/>
      <c r="P80" s="25"/>
      <c r="Q80" s="25"/>
      <c r="R80" s="25">
        <f t="shared" si="9"/>
        <v>998000</v>
      </c>
      <c r="S80" s="108">
        <v>900570</v>
      </c>
      <c r="T80" s="27">
        <f t="shared" si="10"/>
        <v>0.90237474949899799</v>
      </c>
      <c r="U80" s="110">
        <v>462120</v>
      </c>
      <c r="V80" s="27">
        <f t="shared" si="11"/>
        <v>0.46304609218436876</v>
      </c>
      <c r="W80" s="105">
        <v>459982.98</v>
      </c>
      <c r="X80" s="27">
        <f t="shared" si="12"/>
        <v>0.46090478957915831</v>
      </c>
      <c r="Y80" s="5"/>
      <c r="Z80" s="5"/>
      <c r="AA80" s="5"/>
    </row>
    <row r="81" spans="1:27" ht="63" customHeight="1">
      <c r="A81" s="21" t="s">
        <v>87</v>
      </c>
      <c r="B81" s="22" t="s">
        <v>88</v>
      </c>
      <c r="C81" s="22" t="s">
        <v>76</v>
      </c>
      <c r="D81" s="22" t="s">
        <v>77</v>
      </c>
      <c r="E81" s="32" t="s">
        <v>65</v>
      </c>
      <c r="F81" s="22" t="s">
        <v>123</v>
      </c>
      <c r="G81" s="22" t="s">
        <v>54</v>
      </c>
      <c r="H81" s="104" t="s">
        <v>162</v>
      </c>
      <c r="I81" s="104" t="s">
        <v>161</v>
      </c>
      <c r="J81" s="119">
        <v>3</v>
      </c>
      <c r="K81" s="107">
        <v>0</v>
      </c>
      <c r="L81" s="105">
        <v>1202697.3</v>
      </c>
      <c r="M81" s="105">
        <v>31200</v>
      </c>
      <c r="N81" s="25">
        <f t="shared" si="8"/>
        <v>1171497.3</v>
      </c>
      <c r="O81" s="25"/>
      <c r="P81" s="25"/>
      <c r="Q81" s="25"/>
      <c r="R81" s="25">
        <f t="shared" si="9"/>
        <v>1171497.3</v>
      </c>
      <c r="S81" s="108">
        <v>553643.64</v>
      </c>
      <c r="T81" s="27">
        <f t="shared" si="10"/>
        <v>0.47259489202407889</v>
      </c>
      <c r="U81" s="110">
        <v>364077.54</v>
      </c>
      <c r="V81" s="27">
        <f t="shared" si="11"/>
        <v>0.31077966632957665</v>
      </c>
      <c r="W81" s="105">
        <v>361728.49</v>
      </c>
      <c r="X81" s="27">
        <f t="shared" si="12"/>
        <v>0.30877449738893975</v>
      </c>
      <c r="Y81" s="5"/>
      <c r="Z81" s="5"/>
      <c r="AA81" s="5"/>
    </row>
    <row r="82" spans="1:27" ht="15.75" customHeight="1">
      <c r="A82" s="142" t="s">
        <v>124</v>
      </c>
      <c r="B82" s="127"/>
      <c r="C82" s="127"/>
      <c r="D82" s="127"/>
      <c r="E82" s="127"/>
      <c r="F82" s="127"/>
      <c r="G82" s="127"/>
      <c r="H82" s="127"/>
      <c r="I82" s="127"/>
      <c r="J82" s="128"/>
      <c r="K82" s="38">
        <f t="shared" ref="K82:N82" si="13">SUM(K33:K81)</f>
        <v>151078000</v>
      </c>
      <c r="L82" s="38">
        <f t="shared" si="13"/>
        <v>95081609.300000012</v>
      </c>
      <c r="M82" s="38">
        <f t="shared" si="13"/>
        <v>35935015.080000006</v>
      </c>
      <c r="N82" s="38">
        <f t="shared" si="13"/>
        <v>210224594.22000003</v>
      </c>
      <c r="O82" s="38">
        <f t="shared" ref="O82:Q82" si="14">SUM(O33:O80)</f>
        <v>0</v>
      </c>
      <c r="P82" s="38">
        <f t="shared" si="14"/>
        <v>0</v>
      </c>
      <c r="Q82" s="38">
        <f t="shared" si="14"/>
        <v>0</v>
      </c>
      <c r="R82" s="38">
        <f t="shared" ref="R82:S82" si="15">SUM(R33:R81)</f>
        <v>210224594.22000003</v>
      </c>
      <c r="S82" s="38">
        <f t="shared" si="15"/>
        <v>148140309.01000002</v>
      </c>
      <c r="T82" s="39">
        <f t="shared" si="10"/>
        <v>0.70467639411862149</v>
      </c>
      <c r="U82" s="38">
        <f>SUM(U33:U81)</f>
        <v>70919469.870000005</v>
      </c>
      <c r="V82" s="39">
        <f t="shared" si="11"/>
        <v>0.33735096568093637</v>
      </c>
      <c r="W82" s="38">
        <f>SUM(W33:W81)</f>
        <v>69615905.459999993</v>
      </c>
      <c r="X82" s="39">
        <f t="shared" si="12"/>
        <v>0.33115014786113439</v>
      </c>
      <c r="Y82" s="5"/>
      <c r="Z82" s="5"/>
      <c r="AA82" s="5"/>
    </row>
    <row r="83" spans="1:27" ht="15.75" customHeight="1">
      <c r="A83" s="143" t="s">
        <v>125</v>
      </c>
      <c r="B83" s="127"/>
      <c r="C83" s="127"/>
      <c r="D83" s="127"/>
      <c r="E83" s="127"/>
      <c r="F83" s="127"/>
      <c r="G83" s="127"/>
      <c r="H83" s="127"/>
      <c r="I83" s="127"/>
      <c r="J83" s="128"/>
      <c r="K83" s="56">
        <f t="shared" ref="K83:S83" si="16">SUM(K30+K82)</f>
        <v>1094864000</v>
      </c>
      <c r="L83" s="56">
        <f t="shared" si="16"/>
        <v>137509459.38</v>
      </c>
      <c r="M83" s="56">
        <f t="shared" si="16"/>
        <v>78362865.159999996</v>
      </c>
      <c r="N83" s="56">
        <f t="shared" si="16"/>
        <v>1154010594.22</v>
      </c>
      <c r="O83" s="56">
        <f t="shared" si="16"/>
        <v>0</v>
      </c>
      <c r="P83" s="56">
        <f t="shared" si="16"/>
        <v>0</v>
      </c>
      <c r="Q83" s="56">
        <f t="shared" si="16"/>
        <v>-30626500</v>
      </c>
      <c r="R83" s="56">
        <f t="shared" si="16"/>
        <v>1123384094.22</v>
      </c>
      <c r="S83" s="56">
        <f t="shared" si="16"/>
        <v>677507391.76999998</v>
      </c>
      <c r="T83" s="57">
        <f t="shared" si="10"/>
        <v>0.60309505471538127</v>
      </c>
      <c r="U83" s="56">
        <f>SUM(U30+U82)</f>
        <v>600095745.40999997</v>
      </c>
      <c r="V83" s="57">
        <f t="shared" si="11"/>
        <v>0.53418572374096573</v>
      </c>
      <c r="W83" s="56">
        <f>SUM(W30+W82)</f>
        <v>597094871.21000004</v>
      </c>
      <c r="X83" s="57">
        <f t="shared" si="12"/>
        <v>0.53151444308509754</v>
      </c>
      <c r="Y83" s="29"/>
      <c r="Z83" s="5"/>
      <c r="AA83" s="5"/>
    </row>
    <row r="84" spans="1:27" ht="14.25" customHeight="1">
      <c r="A84" s="58" t="s">
        <v>126</v>
      </c>
      <c r="B84" s="59"/>
      <c r="C84" s="59"/>
      <c r="D84" s="59"/>
      <c r="E84" s="59"/>
      <c r="F84" s="59"/>
      <c r="G84" s="59"/>
      <c r="H84" s="60"/>
      <c r="I84" s="60"/>
      <c r="J84" s="60"/>
      <c r="K84" s="59"/>
      <c r="L84" s="59"/>
      <c r="M84" s="61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5"/>
      <c r="Z84" s="5"/>
      <c r="AA84" s="5"/>
    </row>
    <row r="85" spans="1:27" ht="14.25" customHeight="1">
      <c r="A85" s="58" t="s">
        <v>127</v>
      </c>
      <c r="B85" s="63"/>
      <c r="C85" s="59"/>
      <c r="D85" s="59"/>
      <c r="E85" s="59"/>
      <c r="F85" s="59"/>
      <c r="G85" s="59"/>
      <c r="H85" s="60"/>
      <c r="I85" s="60"/>
      <c r="J85" s="60"/>
      <c r="K85" s="59"/>
      <c r="L85" s="59"/>
      <c r="M85" s="61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5"/>
      <c r="Z85" s="5"/>
      <c r="AA85" s="5"/>
    </row>
    <row r="86" spans="1:27" ht="14.25" customHeight="1">
      <c r="A86" s="144" t="s">
        <v>128</v>
      </c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8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5"/>
      <c r="Z86" s="5"/>
      <c r="AA86" s="5"/>
    </row>
    <row r="87" spans="1:27" ht="14.25" customHeight="1">
      <c r="A87" s="120" t="s">
        <v>164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2"/>
      <c r="O87" s="62"/>
      <c r="P87" s="62"/>
      <c r="Q87" s="5"/>
      <c r="R87" s="5"/>
      <c r="S87" s="5"/>
      <c r="T87" s="5"/>
      <c r="U87" s="5"/>
      <c r="V87" s="5"/>
      <c r="W87" s="5"/>
      <c r="X87" s="65"/>
      <c r="Y87" s="5"/>
      <c r="Z87" s="5"/>
      <c r="AA87" s="5"/>
    </row>
    <row r="88" spans="1:27" ht="14.25" customHeight="1">
      <c r="A88" s="145"/>
      <c r="B88" s="130"/>
      <c r="C88" s="130"/>
      <c r="D88" s="130"/>
      <c r="E88" s="130"/>
      <c r="F88" s="130"/>
      <c r="G88" s="130"/>
      <c r="H88" s="131"/>
      <c r="I88" s="5"/>
      <c r="J88" s="5"/>
      <c r="K88" s="5"/>
      <c r="L88" s="5"/>
      <c r="M88" s="5"/>
      <c r="N88" s="62"/>
      <c r="O88" s="62"/>
      <c r="P88" s="62"/>
      <c r="Q88" s="5"/>
      <c r="R88" s="5"/>
      <c r="S88" s="5"/>
      <c r="T88" s="5"/>
      <c r="U88" s="5"/>
      <c r="V88" s="5"/>
      <c r="W88" s="5"/>
      <c r="X88" s="65"/>
      <c r="Y88" s="5"/>
      <c r="Z88" s="5"/>
      <c r="AA88" s="5"/>
    </row>
    <row r="89" spans="1:27" ht="14.25" customHeight="1">
      <c r="A89" s="146"/>
      <c r="B89" s="133"/>
      <c r="C89" s="133"/>
      <c r="D89" s="133"/>
      <c r="E89" s="133"/>
      <c r="F89" s="133"/>
      <c r="G89" s="133"/>
      <c r="H89" s="147"/>
      <c r="I89" s="3"/>
      <c r="J89" s="3"/>
      <c r="K89" s="66"/>
      <c r="L89" s="66"/>
      <c r="M89" s="66"/>
      <c r="N89" s="66"/>
      <c r="O89" s="66"/>
      <c r="P89" s="66"/>
      <c r="Q89" s="5"/>
      <c r="R89" s="5"/>
      <c r="S89" s="5"/>
      <c r="T89" s="5"/>
      <c r="U89" s="5"/>
      <c r="V89" s="5"/>
      <c r="W89" s="5"/>
      <c r="X89" s="65"/>
      <c r="Y89" s="29"/>
      <c r="Z89" s="5"/>
      <c r="AA89" s="5"/>
    </row>
    <row r="90" spans="1:27" ht="14.25" customHeight="1">
      <c r="A90" s="148"/>
      <c r="B90" s="149"/>
      <c r="C90" s="149"/>
      <c r="D90" s="149"/>
      <c r="E90" s="149"/>
      <c r="F90" s="149"/>
      <c r="G90" s="149"/>
      <c r="H90" s="150"/>
      <c r="I90" s="3"/>
      <c r="J90" s="3"/>
      <c r="K90" s="66"/>
      <c r="L90" s="66"/>
      <c r="M90" s="66"/>
      <c r="N90" s="66"/>
      <c r="O90" s="66"/>
      <c r="P90" s="66"/>
      <c r="Q90" s="5"/>
      <c r="R90" s="5"/>
      <c r="S90" s="5"/>
      <c r="T90" s="5"/>
      <c r="U90" s="67"/>
      <c r="V90" s="5"/>
      <c r="W90" s="5"/>
      <c r="X90" s="65"/>
      <c r="Y90" s="29"/>
      <c r="Z90" s="5"/>
      <c r="AA90" s="5"/>
    </row>
    <row r="91" spans="1:27" ht="14.25" customHeight="1">
      <c r="A91" s="68"/>
      <c r="B91" s="68"/>
      <c r="C91" s="68"/>
      <c r="D91" s="62"/>
      <c r="E91" s="62"/>
      <c r="F91" s="62"/>
      <c r="G91" s="62"/>
      <c r="H91" s="3"/>
      <c r="I91" s="3"/>
      <c r="J91" s="3"/>
      <c r="K91" s="66"/>
      <c r="L91" s="66"/>
      <c r="M91" s="66"/>
      <c r="N91" s="66"/>
      <c r="O91" s="66"/>
      <c r="P91" s="66"/>
      <c r="Q91" s="5"/>
      <c r="R91" s="5"/>
      <c r="S91" s="5"/>
      <c r="T91" s="5"/>
      <c r="U91" s="67"/>
      <c r="V91" s="5"/>
      <c r="W91" s="5"/>
      <c r="X91" s="65"/>
      <c r="Y91" s="29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</sheetData>
  <mergeCells count="28">
    <mergeCell ref="A86:M86"/>
    <mergeCell ref="A88:H90"/>
    <mergeCell ref="G12:G13"/>
    <mergeCell ref="J12:J13"/>
    <mergeCell ref="A30:J30"/>
    <mergeCell ref="A82:J82"/>
    <mergeCell ref="A83:J83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2:B12"/>
    <mergeCell ref="C12:C13"/>
    <mergeCell ref="D12:D13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1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2022</vt:lpstr>
      <vt:lpstr>JULHO 2023</vt:lpstr>
      <vt:lpstr>'JULHO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2023-08-18T13:37:17Z</cp:lastPrinted>
  <dcterms:modified xsi:type="dcterms:W3CDTF">2023-08-18T13:37:41Z</dcterms:modified>
</cp:coreProperties>
</file>