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NHO" sheetId="1" r:id="rId4"/>
  </sheets>
  <definedNames/>
  <calcPr/>
  <extLst>
    <ext uri="GoogleSheetsCustomDataVersion2">
      <go:sheetsCustomData xmlns:go="http://customooxmlschemas.google.com/" r:id="rId5" roundtripDataChecksum="xjMRXIMSdu6xZpLBlTOVgpUEydYf/mXZ5OS+tEOSq50="/>
    </ext>
  </extLst>
</workbook>
</file>

<file path=xl/sharedStrings.xml><?xml version="1.0" encoding="utf-8"?>
<sst xmlns="http://schemas.openxmlformats.org/spreadsheetml/2006/main" count="514" uniqueCount="131">
  <si>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</si>
  <si>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</si>
  <si>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</si>
  <si>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</si>
  <si>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</si>
  <si>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06/2026</t>
  </si>
  <si>
    <t>Data da Publicação: 13/07/2026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</si>
  <si>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</si>
  <si>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</si>
  <si>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</si>
  <si>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</si>
  <si>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</si>
  <si>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</si>
  <si>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</si>
  <si>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</si>
  <si>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</si>
  <si>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</si>
  <si>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</si>
  <si>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</si>
  <si>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</si>
  <si>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</si>
  <si>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</si>
  <si>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</si>
  <si>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</si>
  <si>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</si>
  <si>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</si>
  <si>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</si>
  <si>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</si>
  <si>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</si>
  <si>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</si>
  <si>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</si>
  <si>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</si>
  <si>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</si>
  <si>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</si>
  <si>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</si>
  <si>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</si>
  <si>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</si>
  <si>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</si>
  <si>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</si>
  <si>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</si>
  <si>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</si>
  <si>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</si>
  <si>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</si>
  <si>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</si>
  <si>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</si>
  <si>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</si>
  <si>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</si>
  <si>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</si>
  <si>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</si>
  <si>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</si>
  <si>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</si>
  <si>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</si>
  <si>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</si>
  <si>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</si>
  <si>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</si>
  <si>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</si>
  <si>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</si>
  <si>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</si>
  <si>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</si>
  <si>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</si>
  <si>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</si>
  <si>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</si>
  <si>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</si>
  <si>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</si>
  <si>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</si>
  <si>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</si>
  <si>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</si>
  <si>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</si>
  <si>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</si>
  <si>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</si>
  <si>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</si>
  <si>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</si>
  <si>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</si>
  <si>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</si>
  <si>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</si>
  <si>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</si>
  <si>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</si>
  <si>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</si>
  <si>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</si>
  <si>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</si>
  <si>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</si>
  <si>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</si>
  <si>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</si>
  <si>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</si>
  <si>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</si>
  <si>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</si>
  <si>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</si>
  <si>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</si>
  <si>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</si>
  <si>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</si>
  <si>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</si>
  <si>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</si>
  <si>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</si>
  <si>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</si>
  <si>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</si>
  <si>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2.759.201.0.0000.0000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</si>
  <si>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</si>
  <si>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</si>
  <si>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</si>
  <si>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</si>
  <si>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</si>
  <si>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</si>
  <si>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</si>
  <si>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</si>
  <si>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</si>
  <si>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</si>
  <si>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</si>
  <si>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</si>
  <si>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</si>
  <si>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</si>
  <si>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</si>
  <si>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</si>
  <si>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2. Grau</t>
  </si>
  <si>
    <t>Benefícios aos Servidores do 2.° Grau</t>
  </si>
  <si>
    <t xml:space="preserve">1 </t>
  </si>
  <si>
    <t>02.126</t>
  </si>
  <si>
    <t>3290/2627.0001</t>
  </si>
  <si>
    <t>Manutenção, Ampliação e Aperfeiçoamento da Infraestrutura de TIC no 1° Grau do Poder Judiciário</t>
  </si>
  <si>
    <t>Manutenção, Ampliação e Aperfeiçoamento da Infraestrutura de TIC do Poder Judiciário</t>
  </si>
  <si>
    <t>Formação e Aperfeiçoamento dos servidores</t>
  </si>
  <si>
    <t>1.759.285.0.0000.0000</t>
  </si>
  <si>
    <t>Recursos Vinculados a Fundos - Outras Fontes</t>
  </si>
  <si>
    <t>2.759.285.0.0000.0000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</si>
  <si>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</si>
  <si>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</si>
  <si>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</si>
  <si>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</si>
  <si>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</si>
  <si>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TOTAL = B-A</t>
  </si>
  <si>
    <t>MÊS ANTERIOR</t>
  </si>
  <si>
    <t>MÊS ATUAL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</si>
</sst>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1">
    <font>
      <sz val="10.0"/>
      <color rgb="FF000000"/>
      <name val="Arial"/>
      <scheme val="minor"/>
    </font>
    <font>
      <sz val="9.0"/>
      <color theme="1"/>
      <name val="Arial"/>
    </font>
    <font/>
    <font>
      <sz val="11.0"/>
      <color theme="1"/>
      <name val="Arial"/>
    </font>
    <font>
      <b/>
      <sz val="7.0"/>
      <color theme="1"/>
      <name val="Arial"/>
    </font>
    <font>
      <sz val="7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b/>
      <color theme="1"/>
      <name val="Arial"/>
    </font>
    <font>
      <color theme="1"/>
      <name val="Arial"/>
    </font>
    <font>
      <b/>
      <sz val="12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  <fill>
      <patternFill patternType="solid">
        <fgColor rgb="FFCFE7E5"/>
        <bgColor rgb="FFCFE7E5"/>
      </patternFill>
    </fill>
  </fills>
  <borders count="20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/>
      <right/>
      <top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3" numFmtId="0" xfId="0" applyBorder="1" applyFill="1" applyFont="1"/>
    <xf borderId="4" fillId="2" fontId="3" numFmtId="164" xfId="0" applyBorder="1" applyFont="1" applyNumberFormat="1"/>
    <xf borderId="5" fillId="0" fontId="1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1" numFmtId="0" xfId="0" applyBorder="1" applyFont="1"/>
    <xf borderId="9" fillId="0" fontId="2" numFmtId="0" xfId="0" applyBorder="1" applyFont="1"/>
    <xf borderId="1" fillId="0" fontId="1" numFmtId="0" xfId="0" applyAlignment="1" applyBorder="1" applyFont="1">
      <alignment readingOrder="0"/>
    </xf>
    <xf borderId="1" fillId="0" fontId="1" numFmtId="49" xfId="0" applyAlignment="1" applyBorder="1" applyFont="1" applyNumberFormat="1">
      <alignment readingOrder="0"/>
    </xf>
    <xf borderId="0" fillId="0" fontId="4" numFmtId="0" xfId="0" applyAlignment="1" applyFont="1">
      <alignment horizontal="center"/>
    </xf>
    <xf borderId="10" fillId="2" fontId="3" numFmtId="0" xfId="0" applyBorder="1" applyFont="1"/>
    <xf borderId="0" fillId="0" fontId="3" numFmtId="164" xfId="0" applyFont="1" applyNumberFormat="1"/>
    <xf borderId="1" fillId="0" fontId="4" numFmtId="0" xfId="0" applyAlignment="1" applyBorder="1" applyFont="1">
      <alignment horizontal="center" shrinkToFit="0" wrapText="1"/>
    </xf>
    <xf borderId="7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wrapText="1"/>
    </xf>
    <xf borderId="16" fillId="0" fontId="2" numFmtId="0" xfId="0" applyBorder="1" applyFont="1"/>
    <xf borderId="15" fillId="0" fontId="4" numFmtId="164" xfId="0" applyAlignment="1" applyBorder="1" applyFont="1" applyNumberFormat="1">
      <alignment horizontal="center" shrinkToFit="0" wrapText="1"/>
    </xf>
    <xf borderId="15" fillId="0" fontId="4" numFmtId="165" xfId="0" applyAlignment="1" applyBorder="1" applyFont="1" applyNumberFormat="1">
      <alignment horizontal="center" shrinkToFit="0" wrapText="1"/>
    </xf>
    <xf borderId="15" fillId="0" fontId="4" numFmtId="0" xfId="0" applyAlignment="1" applyBorder="1" applyFon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5" fillId="0" fontId="4" numFmtId="165" xfId="0" applyAlignment="1" applyBorder="1" applyFont="1" applyNumberFormat="1">
      <alignment horizontal="center" shrinkToFit="0" vertical="center" wrapText="1"/>
    </xf>
    <xf borderId="15" fillId="3" fontId="5" numFmtId="49" xfId="0" applyAlignment="1" applyBorder="1" applyFill="1" applyFont="1" applyNumberFormat="1">
      <alignment horizontal="center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4" fontId="5" numFmtId="0" xfId="0" applyAlignment="1" applyBorder="1" applyFill="1" applyFont="1">
      <alignment horizontal="center" shrinkToFit="0" vertical="center" wrapText="1"/>
    </xf>
    <xf borderId="15" fillId="0" fontId="5" numFmtId="166" xfId="0" applyAlignment="1" applyBorder="1" applyFont="1" applyNumberFormat="1">
      <alignment horizontal="center" readingOrder="0" vertical="center"/>
    </xf>
    <xf borderId="15" fillId="2" fontId="5" numFmtId="166" xfId="0" applyAlignment="1" applyBorder="1" applyFont="1" applyNumberFormat="1">
      <alignment horizontal="center" readingOrder="0" vertical="center"/>
    </xf>
    <xf borderId="15" fillId="2" fontId="4" numFmtId="4" xfId="0" applyAlignment="1" applyBorder="1" applyFont="1" applyNumberFormat="1">
      <alignment horizontal="center" vertical="center"/>
    </xf>
    <xf borderId="15" fillId="2" fontId="3" numFmtId="4" xfId="0" applyAlignment="1" applyBorder="1" applyFont="1" applyNumberFormat="1">
      <alignment horizontal="center" vertical="center"/>
    </xf>
    <xf borderId="15" fillId="2" fontId="4" numFmtId="164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readingOrder="0" vertical="center"/>
    </xf>
    <xf borderId="15" fillId="2" fontId="3" numFmtId="0" xfId="0" applyAlignment="1" applyBorder="1" applyFont="1">
      <alignment horizontal="center" vertical="center"/>
    </xf>
    <xf borderId="0" fillId="0" fontId="3" numFmtId="166" xfId="0" applyFont="1" applyNumberFormat="1"/>
    <xf borderId="15" fillId="5" fontId="5" numFmtId="0" xfId="0" applyAlignment="1" applyBorder="1" applyFill="1" applyFont="1">
      <alignment horizontal="center" shrinkToFit="0" vertical="center" wrapText="1"/>
    </xf>
    <xf borderId="15" fillId="5" fontId="5" numFmtId="166" xfId="0" applyAlignment="1" applyBorder="1" applyFont="1" applyNumberFormat="1">
      <alignment horizontal="center" readingOrder="0" vertical="center"/>
    </xf>
    <xf borderId="15" fillId="0" fontId="5" numFmtId="167" xfId="0" applyAlignment="1" applyBorder="1" applyFont="1" applyNumberFormat="1">
      <alignment horizontal="center" readingOrder="0" vertical="center"/>
    </xf>
    <xf borderId="15" fillId="0" fontId="4" numFmtId="4" xfId="0" applyAlignment="1" applyBorder="1" applyFont="1" applyNumberFormat="1">
      <alignment horizontal="center" vertical="center"/>
    </xf>
    <xf borderId="15" fillId="0" fontId="4" numFmtId="164" xfId="0" applyAlignment="1" applyBorder="1" applyFont="1" applyNumberFormat="1">
      <alignment horizontal="center" vertical="center"/>
    </xf>
    <xf borderId="15" fillId="0" fontId="5" numFmtId="166" xfId="0" applyAlignment="1" applyBorder="1" applyFont="1" applyNumberFormat="1">
      <alignment horizontal="center" vertical="center"/>
    </xf>
    <xf borderId="15" fillId="2" fontId="5" numFmtId="166" xfId="0" applyAlignment="1" applyBorder="1" applyFont="1" applyNumberFormat="1">
      <alignment horizontal="center" vertical="center"/>
    </xf>
    <xf borderId="15" fillId="5" fontId="5" numFmtId="166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vertical="center"/>
    </xf>
    <xf borderId="15" fillId="2" fontId="5" numFmtId="49" xfId="0" applyAlignment="1" applyBorder="1" applyFont="1" applyNumberFormat="1">
      <alignment horizontal="center" shrinkToFit="0" vertical="center" wrapText="1"/>
    </xf>
    <xf borderId="1" fillId="6" fontId="6" numFmtId="49" xfId="0" applyAlignment="1" applyBorder="1" applyFill="1" applyFont="1" applyNumberFormat="1">
      <alignment horizontal="center" shrinkToFit="0" vertical="center" wrapText="1"/>
    </xf>
    <xf borderId="15" fillId="6" fontId="4" numFmtId="4" xfId="0" applyAlignment="1" applyBorder="1" applyFont="1" applyNumberFormat="1">
      <alignment horizontal="center" shrinkToFit="0" vertical="center" wrapText="1"/>
    </xf>
    <xf borderId="15" fillId="6" fontId="4" numFmtId="164" xfId="0" applyAlignment="1" applyBorder="1" applyFont="1" applyNumberFormat="1">
      <alignment horizontal="center" vertical="center"/>
    </xf>
    <xf borderId="15" fillId="6" fontId="3" numFmtId="49" xfId="0" applyBorder="1" applyFont="1" applyNumberFormat="1"/>
    <xf borderId="15" fillId="6" fontId="3" numFmtId="4" xfId="0" applyBorder="1" applyFont="1" applyNumberFormat="1"/>
    <xf borderId="15" fillId="6" fontId="3" numFmtId="164" xfId="0" applyBorder="1" applyFont="1" applyNumberFormat="1"/>
    <xf borderId="15" fillId="0" fontId="3" numFmtId="49" xfId="0" applyBorder="1" applyFont="1" applyNumberFormat="1"/>
    <xf borderId="15" fillId="0" fontId="3" numFmtId="4" xfId="0" applyBorder="1" applyFont="1" applyNumberFormat="1"/>
    <xf borderId="15" fillId="0" fontId="3" numFmtId="164" xfId="0" applyBorder="1" applyFont="1" applyNumberFormat="1"/>
    <xf borderId="15" fillId="7" fontId="5" numFmtId="0" xfId="0" applyAlignment="1" applyBorder="1" applyFill="1" applyFont="1">
      <alignment horizontal="center" shrinkToFit="0" vertical="center" wrapText="1"/>
    </xf>
    <xf borderId="15" fillId="7" fontId="5" numFmtId="166" xfId="0" applyAlignment="1" applyBorder="1" applyFont="1" applyNumberFormat="1">
      <alignment horizontal="center" readingOrder="0" vertical="center"/>
    </xf>
    <xf borderId="15" fillId="0" fontId="5" numFmtId="167" xfId="0" applyAlignment="1" applyBorder="1" applyFont="1" applyNumberFormat="1">
      <alignment horizontal="center" vertical="center"/>
    </xf>
    <xf borderId="15" fillId="7" fontId="5" numFmtId="166" xfId="0" applyAlignment="1" applyBorder="1" applyFont="1" applyNumberFormat="1">
      <alignment horizontal="center" vertical="center"/>
    </xf>
    <xf borderId="15" fillId="0" fontId="3" numFmtId="4" xfId="0" applyAlignment="1" applyBorder="1" applyFont="1" applyNumberFormat="1">
      <alignment horizontal="center" vertical="center"/>
    </xf>
    <xf borderId="1" fillId="6" fontId="3" numFmtId="49" xfId="0" applyAlignment="1" applyBorder="1" applyFont="1" applyNumberFormat="1">
      <alignment horizontal="center" shrinkToFit="0" wrapText="1"/>
    </xf>
    <xf borderId="1" fillId="8" fontId="3" numFmtId="49" xfId="0" applyAlignment="1" applyBorder="1" applyFill="1" applyFont="1" applyNumberFormat="1">
      <alignment horizontal="center" shrinkToFit="0" wrapText="1"/>
    </xf>
    <xf borderId="15" fillId="8" fontId="4" numFmtId="4" xfId="0" applyAlignment="1" applyBorder="1" applyFont="1" applyNumberFormat="1">
      <alignment horizontal="center" shrinkToFit="0" vertical="center" wrapText="1"/>
    </xf>
    <xf borderId="17" fillId="8" fontId="4" numFmtId="4" xfId="0" applyAlignment="1" applyBorder="1" applyFont="1" applyNumberFormat="1">
      <alignment horizontal="center" shrinkToFit="0" vertical="center" wrapText="1"/>
    </xf>
    <xf borderId="17" fillId="8" fontId="4" numFmtId="164" xfId="0" applyAlignment="1" applyBorder="1" applyFont="1" applyNumberFormat="1">
      <alignment horizontal="center" vertical="center"/>
    </xf>
    <xf borderId="18" fillId="2" fontId="7" numFmtId="0" xfId="0" applyBorder="1" applyFont="1"/>
    <xf borderId="19" fillId="2" fontId="3" numFmtId="0" xfId="0" applyBorder="1" applyFont="1"/>
    <xf borderId="0" fillId="0" fontId="3" numFmtId="4" xfId="0" applyAlignment="1" applyFont="1" applyNumberFormat="1">
      <alignment horizontal="right"/>
    </xf>
    <xf borderId="1" fillId="2" fontId="7" numFmtId="0" xfId="0" applyBorder="1" applyFont="1"/>
    <xf borderId="0" fillId="0" fontId="3" numFmtId="0" xfId="0" applyAlignment="1" applyFont="1">
      <alignment horizontal="right"/>
    </xf>
    <xf borderId="0" fillId="0" fontId="3" numFmtId="167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4" xfId="0" applyFont="1" applyNumberFormat="1"/>
    <xf borderId="0" fillId="0" fontId="3" numFmtId="4" xfId="0" applyAlignment="1" applyFont="1" applyNumberFormat="1">
      <alignment horizontal="center"/>
    </xf>
    <xf borderId="0" fillId="0" fontId="8" numFmtId="4" xfId="0" applyAlignment="1" applyFont="1" applyNumberFormat="1">
      <alignment horizontal="center" vertical="bottom"/>
    </xf>
    <xf borderId="0" fillId="0" fontId="9" numFmtId="1" xfId="0" applyAlignment="1" applyFont="1" applyNumberFormat="1">
      <alignment vertical="bottom"/>
    </xf>
    <xf borderId="0" fillId="0" fontId="9" numFmtId="4" xfId="0" applyAlignment="1" applyFont="1" applyNumberFormat="1">
      <alignment vertical="bottom"/>
    </xf>
    <xf borderId="0" fillId="2" fontId="9" numFmtId="4" xfId="0" applyAlignment="1" applyFont="1" applyNumberFormat="1">
      <alignment vertical="bottom"/>
    </xf>
    <xf borderId="0" fillId="2" fontId="10" numFmtId="4" xfId="0" applyAlignment="1" applyFont="1" applyNumberFormat="1">
      <alignment horizontal="center" vertical="bottom"/>
    </xf>
    <xf borderId="0" fillId="5" fontId="8" numFmtId="1" xfId="0" applyAlignment="1" applyFont="1" applyNumberFormat="1">
      <alignment horizontal="right" vertical="bottom"/>
    </xf>
    <xf borderId="0" fillId="5" fontId="8" numFmtId="4" xfId="0" applyAlignment="1" applyFont="1" applyNumberFormat="1">
      <alignment horizontal="right" readingOrder="0" vertical="bottom"/>
    </xf>
    <xf borderId="0" fillId="5" fontId="3" numFmtId="1" xfId="0" applyAlignment="1" applyFont="1" applyNumberFormat="1">
      <alignment horizontal="right" vertical="bottom"/>
    </xf>
    <xf borderId="0" fillId="5" fontId="8" numFmtId="4" xfId="0" applyAlignment="1" applyFont="1" applyNumberFormat="1">
      <alignment horizontal="right" vertical="bottom"/>
    </xf>
    <xf borderId="0" fillId="5" fontId="8" numFmtId="4" xfId="0" applyAlignment="1" applyFont="1" applyNumberFormat="1">
      <alignment horizontal="center" vertical="bottom"/>
    </xf>
    <xf borderId="0" fillId="9" fontId="8" numFmtId="1" xfId="0" applyAlignment="1" applyFill="1" applyFont="1" applyNumberFormat="1">
      <alignment horizontal="right" vertical="bottom"/>
    </xf>
    <xf borderId="0" fillId="9" fontId="8" numFmtId="4" xfId="0" applyAlignment="1" applyFont="1" applyNumberFormat="1">
      <alignment horizontal="right" readingOrder="0" vertical="bottom"/>
    </xf>
    <xf borderId="0" fillId="9" fontId="3" numFmtId="1" xfId="0" applyAlignment="1" applyFont="1" applyNumberFormat="1">
      <alignment horizontal="right" vertical="bottom"/>
    </xf>
    <xf borderId="0" fillId="9" fontId="8" numFmtId="4" xfId="0" applyAlignment="1" applyFont="1" applyNumberFormat="1">
      <alignment horizontal="right" vertical="bottom"/>
    </xf>
    <xf borderId="0" fillId="7" fontId="8" numFmtId="1" xfId="0" applyAlignment="1" applyFont="1" applyNumberFormat="1">
      <alignment horizontal="right" vertical="bottom"/>
    </xf>
    <xf borderId="0" fillId="7" fontId="8" numFmtId="4" xfId="0" applyAlignment="1" applyFont="1" applyNumberFormat="1">
      <alignment horizontal="right" readingOrder="0" vertical="bottom"/>
    </xf>
    <xf borderId="0" fillId="7" fontId="3" numFmtId="1" xfId="0" applyAlignment="1" applyFont="1" applyNumberFormat="1">
      <alignment horizontal="right" vertical="bottom"/>
    </xf>
    <xf borderId="0" fillId="7" fontId="8" numFmtId="4" xfId="0" applyAlignment="1" applyFont="1" applyNumberFormat="1">
      <alignment horizontal="right" vertical="bottom"/>
    </xf>
    <xf borderId="0" fillId="2" fontId="8" numFmtId="0" xfId="0" applyAlignment="1" applyFont="1">
      <alignment horizontal="center" vertical="bottom"/>
    </xf>
    <xf borderId="0" fillId="2" fontId="8" numFmtId="16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8" max="8" width="13.0"/>
    <col customWidth="1" min="23" max="25" width="13.38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6"/>
      <c r="V1" s="4"/>
      <c r="W1" s="4"/>
      <c r="X1" s="4"/>
      <c r="Y1" s="4"/>
      <c r="Z1" s="4"/>
      <c r="AA1" s="4"/>
    </row>
    <row r="2" ht="15.75" customHeight="1">
      <c r="A2" s="7" t="s">
        <v>1</v>
      </c>
      <c r="B2" s="8"/>
      <c r="C2" s="8"/>
      <c r="D2" s="8"/>
      <c r="E2" s="8"/>
      <c r="F2" s="9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4"/>
      <c r="W2" s="4"/>
      <c r="X2" s="4"/>
      <c r="Y2" s="4"/>
      <c r="Z2" s="4"/>
      <c r="AA2" s="4"/>
    </row>
    <row r="3" ht="15.75" customHeight="1">
      <c r="A3" s="7" t="s">
        <v>2</v>
      </c>
      <c r="B3" s="8"/>
      <c r="C3" s="8"/>
      <c r="D3" s="8"/>
      <c r="E3" s="8"/>
      <c r="F3" s="9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4"/>
      <c r="W3" s="4"/>
      <c r="X3" s="4"/>
      <c r="Y3" s="4"/>
      <c r="Z3" s="4"/>
      <c r="AA3" s="4"/>
    </row>
    <row r="4" ht="15.75" customHeight="1">
      <c r="A4" s="1" t="s">
        <v>3</v>
      </c>
      <c r="B4" s="2"/>
      <c r="C4" s="2"/>
      <c r="D4" s="2"/>
      <c r="E4" s="2"/>
      <c r="F4" s="3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4"/>
      <c r="W4" s="4"/>
      <c r="X4" s="4"/>
      <c r="Y4" s="4"/>
      <c r="Z4" s="4"/>
      <c r="AA4" s="4"/>
    </row>
    <row r="5" ht="15.75" customHeight="1">
      <c r="A5" s="10" t="s">
        <v>4</v>
      </c>
      <c r="F5" s="11"/>
      <c r="G5" s="4"/>
      <c r="H5" s="4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6"/>
      <c r="V5" s="4"/>
      <c r="W5" s="4"/>
      <c r="X5" s="4"/>
      <c r="Y5" s="4"/>
      <c r="Z5" s="4"/>
      <c r="AA5" s="4"/>
    </row>
    <row r="6" ht="15.75" customHeight="1">
      <c r="A6" s="12" t="s">
        <v>5</v>
      </c>
      <c r="B6" s="2"/>
      <c r="C6" s="2"/>
      <c r="D6" s="2"/>
      <c r="E6" s="2"/>
      <c r="F6" s="3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4"/>
      <c r="W6" s="4"/>
      <c r="X6" s="4"/>
      <c r="Y6" s="4"/>
      <c r="Z6" s="4"/>
      <c r="AA6" s="4"/>
    </row>
    <row r="7" ht="15.75" customHeight="1">
      <c r="A7" s="13" t="s">
        <v>6</v>
      </c>
      <c r="B7" s="2"/>
      <c r="C7" s="2"/>
      <c r="D7" s="2"/>
      <c r="E7" s="2"/>
      <c r="F7" s="3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4"/>
      <c r="W7" s="4"/>
      <c r="X7" s="4"/>
      <c r="Y7" s="4"/>
      <c r="Z7" s="4"/>
      <c r="AA7" s="4"/>
    </row>
    <row r="8" ht="15.75" customHeight="1">
      <c r="A8" s="4"/>
      <c r="G8" s="4"/>
      <c r="H8" s="4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6"/>
      <c r="V8" s="4"/>
      <c r="W8" s="4"/>
      <c r="X8" s="4"/>
      <c r="Y8" s="4"/>
      <c r="Z8" s="4"/>
      <c r="AA8" s="4"/>
    </row>
    <row r="9" ht="15.75" customHeight="1">
      <c r="A9" s="14" t="s">
        <v>7</v>
      </c>
      <c r="Y9" s="4"/>
      <c r="Z9" s="4"/>
      <c r="AA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15"/>
      <c r="K10" s="4"/>
      <c r="L10" s="4"/>
      <c r="M10" s="4"/>
      <c r="N10" s="4"/>
      <c r="O10" s="4"/>
      <c r="P10" s="4"/>
      <c r="Q10" s="4"/>
      <c r="R10" s="4"/>
      <c r="S10" s="4"/>
      <c r="T10" s="4"/>
      <c r="U10" s="6"/>
      <c r="V10" s="4"/>
      <c r="W10" s="16"/>
      <c r="X10" s="4"/>
      <c r="Y10" s="4"/>
      <c r="Z10" s="4"/>
      <c r="AA10" s="4"/>
    </row>
    <row r="11" ht="15.75" customHeight="1">
      <c r="A11" s="17" t="s">
        <v>8</v>
      </c>
      <c r="B11" s="2"/>
      <c r="C11" s="2"/>
      <c r="D11" s="2"/>
      <c r="E11" s="2"/>
      <c r="F11" s="2"/>
      <c r="G11" s="2"/>
      <c r="H11" s="2"/>
      <c r="I11" s="2"/>
      <c r="J11" s="3"/>
      <c r="K11" s="18" t="s">
        <v>9</v>
      </c>
      <c r="L11" s="17" t="s">
        <v>10</v>
      </c>
      <c r="M11" s="3"/>
      <c r="N11" s="19" t="s">
        <v>11</v>
      </c>
      <c r="O11" s="19" t="s">
        <v>12</v>
      </c>
      <c r="P11" s="17" t="s">
        <v>13</v>
      </c>
      <c r="Q11" s="3"/>
      <c r="R11" s="19" t="s">
        <v>14</v>
      </c>
      <c r="S11" s="17" t="s">
        <v>15</v>
      </c>
      <c r="T11" s="2"/>
      <c r="U11" s="2"/>
      <c r="V11" s="2"/>
      <c r="W11" s="2"/>
      <c r="X11" s="3"/>
      <c r="Y11" s="4"/>
      <c r="Z11" s="4"/>
      <c r="AA11" s="4"/>
    </row>
    <row r="12" ht="15.75" customHeight="1">
      <c r="A12" s="20" t="s">
        <v>16</v>
      </c>
      <c r="B12" s="21"/>
      <c r="C12" s="22" t="s">
        <v>17</v>
      </c>
      <c r="D12" s="22" t="s">
        <v>18</v>
      </c>
      <c r="E12" s="20" t="s">
        <v>19</v>
      </c>
      <c r="F12" s="21"/>
      <c r="G12" s="22" t="s">
        <v>20</v>
      </c>
      <c r="H12" s="20" t="s">
        <v>21</v>
      </c>
      <c r="I12" s="21"/>
      <c r="J12" s="23" t="s">
        <v>22</v>
      </c>
      <c r="K12" s="21"/>
      <c r="L12" s="24" t="s">
        <v>23</v>
      </c>
      <c r="M12" s="24" t="s">
        <v>24</v>
      </c>
      <c r="N12" s="25"/>
      <c r="O12" s="25"/>
      <c r="P12" s="24" t="s">
        <v>25</v>
      </c>
      <c r="Q12" s="24" t="s">
        <v>26</v>
      </c>
      <c r="R12" s="25"/>
      <c r="S12" s="24" t="s">
        <v>27</v>
      </c>
      <c r="T12" s="26" t="s">
        <v>28</v>
      </c>
      <c r="U12" s="24" t="s">
        <v>29</v>
      </c>
      <c r="V12" s="26" t="s">
        <v>28</v>
      </c>
      <c r="W12" s="27" t="s">
        <v>30</v>
      </c>
      <c r="X12" s="26" t="s">
        <v>28</v>
      </c>
      <c r="Y12" s="4"/>
      <c r="Z12" s="4"/>
      <c r="AA12" s="4"/>
    </row>
    <row r="13" ht="28.5" customHeight="1">
      <c r="A13" s="28" t="s">
        <v>31</v>
      </c>
      <c r="B13" s="28" t="s">
        <v>19</v>
      </c>
      <c r="C13" s="25"/>
      <c r="D13" s="25"/>
      <c r="E13" s="28" t="s">
        <v>32</v>
      </c>
      <c r="F13" s="28" t="s">
        <v>33</v>
      </c>
      <c r="G13" s="25"/>
      <c r="H13" s="28" t="s">
        <v>31</v>
      </c>
      <c r="I13" s="28" t="s">
        <v>19</v>
      </c>
      <c r="J13" s="25"/>
      <c r="K13" s="28" t="s">
        <v>34</v>
      </c>
      <c r="L13" s="28" t="s">
        <v>35</v>
      </c>
      <c r="M13" s="28" t="s">
        <v>36</v>
      </c>
      <c r="N13" s="28" t="s">
        <v>37</v>
      </c>
      <c r="O13" s="28" t="s">
        <v>38</v>
      </c>
      <c r="P13" s="28" t="s">
        <v>39</v>
      </c>
      <c r="Q13" s="28" t="s">
        <v>40</v>
      </c>
      <c r="R13" s="28" t="s">
        <v>41</v>
      </c>
      <c r="S13" s="28" t="s">
        <v>42</v>
      </c>
      <c r="T13" s="29" t="s">
        <v>43</v>
      </c>
      <c r="U13" s="28" t="s">
        <v>44</v>
      </c>
      <c r="V13" s="29" t="s">
        <v>45</v>
      </c>
      <c r="W13" s="30" t="s">
        <v>46</v>
      </c>
      <c r="X13" s="29" t="s">
        <v>47</v>
      </c>
      <c r="Y13" s="4"/>
      <c r="Z13" s="4"/>
      <c r="AA13" s="4"/>
    </row>
    <row r="14">
      <c r="A14" s="31" t="s">
        <v>48</v>
      </c>
      <c r="B14" s="32" t="s">
        <v>49</v>
      </c>
      <c r="C14" s="32" t="s">
        <v>50</v>
      </c>
      <c r="D14" s="32" t="s">
        <v>51</v>
      </c>
      <c r="E14" s="32" t="s">
        <v>52</v>
      </c>
      <c r="F14" s="32" t="s">
        <v>53</v>
      </c>
      <c r="G14" s="32" t="s">
        <v>54</v>
      </c>
      <c r="H14" s="32" t="s">
        <v>55</v>
      </c>
      <c r="I14" s="32" t="s">
        <v>56</v>
      </c>
      <c r="J14" s="33">
        <v>3.0</v>
      </c>
      <c r="K14" s="34">
        <v>100000.0</v>
      </c>
      <c r="L14" s="35">
        <v>866.54</v>
      </c>
      <c r="M14" s="35">
        <v>50866.54</v>
      </c>
      <c r="N14" s="36">
        <f t="shared" ref="N14:N27" si="1">K14+L14-M14</f>
        <v>50000</v>
      </c>
      <c r="O14" s="37"/>
      <c r="P14" s="37"/>
      <c r="Q14" s="37"/>
      <c r="R14" s="36">
        <f t="shared" ref="R14:R27" si="2">N14-O14+P14+Q14</f>
        <v>50000</v>
      </c>
      <c r="S14" s="35">
        <v>866.54</v>
      </c>
      <c r="T14" s="38">
        <f t="shared" ref="T14:T28" si="3">IF(R14&gt;0,S14/R14,0)</f>
        <v>0.0173308</v>
      </c>
      <c r="U14" s="39">
        <v>866.54</v>
      </c>
      <c r="V14" s="38">
        <f t="shared" ref="V14:V28" si="4">IF(R14&gt;0,U14/R14,0)</f>
        <v>0.0173308</v>
      </c>
      <c r="W14" s="35">
        <v>0.0</v>
      </c>
      <c r="X14" s="38">
        <f t="shared" ref="X14:X28" si="5">IF(R14&gt;0,W14/R14,0)</f>
        <v>0</v>
      </c>
      <c r="Y14" s="4"/>
      <c r="Z14" s="4"/>
      <c r="AA14" s="4"/>
    </row>
    <row r="15">
      <c r="A15" s="31" t="s">
        <v>48</v>
      </c>
      <c r="B15" s="32" t="s">
        <v>49</v>
      </c>
      <c r="C15" s="32" t="s">
        <v>50</v>
      </c>
      <c r="D15" s="32" t="s">
        <v>57</v>
      </c>
      <c r="E15" s="32" t="s">
        <v>52</v>
      </c>
      <c r="F15" s="32" t="s">
        <v>58</v>
      </c>
      <c r="G15" s="32" t="s">
        <v>54</v>
      </c>
      <c r="H15" s="32" t="s">
        <v>55</v>
      </c>
      <c r="I15" s="32" t="s">
        <v>56</v>
      </c>
      <c r="J15" s="33">
        <v>3.0</v>
      </c>
      <c r="K15" s="34">
        <v>9.2715102E7</v>
      </c>
      <c r="L15" s="35">
        <v>4029058.0</v>
      </c>
      <c r="M15" s="35">
        <v>1461000.0</v>
      </c>
      <c r="N15" s="36">
        <f t="shared" si="1"/>
        <v>95283160</v>
      </c>
      <c r="O15" s="40"/>
      <c r="P15" s="37"/>
      <c r="Q15" s="37"/>
      <c r="R15" s="36">
        <f t="shared" si="2"/>
        <v>95283160</v>
      </c>
      <c r="S15" s="35">
        <v>2.427199212E7</v>
      </c>
      <c r="T15" s="38">
        <f t="shared" si="3"/>
        <v>0.2547353816</v>
      </c>
      <c r="U15" s="39">
        <v>2.426604743E7</v>
      </c>
      <c r="V15" s="38">
        <f t="shared" si="4"/>
        <v>0.2546729918</v>
      </c>
      <c r="W15" s="35">
        <v>1.773992192E7</v>
      </c>
      <c r="X15" s="38">
        <f t="shared" si="5"/>
        <v>0.186181083</v>
      </c>
      <c r="Y15" s="41"/>
      <c r="Z15" s="4"/>
      <c r="AA15" s="4"/>
    </row>
    <row r="16">
      <c r="A16" s="31" t="s">
        <v>48</v>
      </c>
      <c r="B16" s="32" t="s">
        <v>49</v>
      </c>
      <c r="C16" s="32" t="s">
        <v>50</v>
      </c>
      <c r="D16" s="32" t="s">
        <v>57</v>
      </c>
      <c r="E16" s="32" t="s">
        <v>52</v>
      </c>
      <c r="F16" s="32" t="s">
        <v>58</v>
      </c>
      <c r="G16" s="32" t="s">
        <v>54</v>
      </c>
      <c r="H16" s="32" t="s">
        <v>59</v>
      </c>
      <c r="I16" s="32" t="s">
        <v>56</v>
      </c>
      <c r="J16" s="33">
        <v>3.0</v>
      </c>
      <c r="K16" s="34">
        <v>2000000.0</v>
      </c>
      <c r="L16" s="35">
        <v>0.0</v>
      </c>
      <c r="M16" s="35">
        <v>0.0</v>
      </c>
      <c r="N16" s="36">
        <f t="shared" si="1"/>
        <v>2000000</v>
      </c>
      <c r="O16" s="40"/>
      <c r="P16" s="37"/>
      <c r="Q16" s="37"/>
      <c r="R16" s="36">
        <f t="shared" si="2"/>
        <v>2000000</v>
      </c>
      <c r="S16" s="35">
        <v>0.0</v>
      </c>
      <c r="T16" s="38">
        <f t="shared" si="3"/>
        <v>0</v>
      </c>
      <c r="U16" s="39">
        <v>0.0</v>
      </c>
      <c r="V16" s="38">
        <f t="shared" si="4"/>
        <v>0</v>
      </c>
      <c r="W16" s="35">
        <v>0.0</v>
      </c>
      <c r="X16" s="38">
        <f t="shared" si="5"/>
        <v>0</v>
      </c>
      <c r="Y16" s="41"/>
      <c r="Z16" s="4"/>
      <c r="AA16" s="4"/>
    </row>
    <row r="17">
      <c r="A17" s="31" t="s">
        <v>48</v>
      </c>
      <c r="B17" s="32" t="s">
        <v>49</v>
      </c>
      <c r="C17" s="32" t="s">
        <v>50</v>
      </c>
      <c r="D17" s="32" t="s">
        <v>60</v>
      </c>
      <c r="E17" s="32" t="s">
        <v>52</v>
      </c>
      <c r="F17" s="32" t="s">
        <v>61</v>
      </c>
      <c r="G17" s="32" t="s">
        <v>54</v>
      </c>
      <c r="H17" s="32" t="s">
        <v>55</v>
      </c>
      <c r="I17" s="32" t="s">
        <v>56</v>
      </c>
      <c r="J17" s="42">
        <v>1.0</v>
      </c>
      <c r="K17" s="34">
        <v>5.75578426E8</v>
      </c>
      <c r="L17" s="35">
        <v>3.86094E7</v>
      </c>
      <c r="M17" s="35">
        <v>1.1177458E7</v>
      </c>
      <c r="N17" s="36">
        <f t="shared" si="1"/>
        <v>603010368</v>
      </c>
      <c r="O17" s="37"/>
      <c r="P17" s="37"/>
      <c r="Q17" s="37"/>
      <c r="R17" s="36">
        <f t="shared" si="2"/>
        <v>603010368</v>
      </c>
      <c r="S17" s="35">
        <v>2.7420091781E8</v>
      </c>
      <c r="T17" s="38">
        <f t="shared" si="3"/>
        <v>0.4547200718</v>
      </c>
      <c r="U17" s="43">
        <v>2.6191879846E8</v>
      </c>
      <c r="V17" s="38">
        <f t="shared" si="4"/>
        <v>0.4343520648</v>
      </c>
      <c r="W17" s="35">
        <v>1.9120139294E8</v>
      </c>
      <c r="X17" s="38">
        <f t="shared" si="5"/>
        <v>0.3170781185</v>
      </c>
      <c r="Y17" s="4"/>
      <c r="Z17" s="4"/>
      <c r="AA17" s="4"/>
    </row>
    <row r="18">
      <c r="A18" s="31" t="s">
        <v>48</v>
      </c>
      <c r="B18" s="32" t="s">
        <v>49</v>
      </c>
      <c r="C18" s="32" t="s">
        <v>50</v>
      </c>
      <c r="D18" s="32" t="s">
        <v>62</v>
      </c>
      <c r="E18" s="32" t="s">
        <v>52</v>
      </c>
      <c r="F18" s="32" t="s">
        <v>63</v>
      </c>
      <c r="G18" s="32" t="s">
        <v>54</v>
      </c>
      <c r="H18" s="32" t="s">
        <v>55</v>
      </c>
      <c r="I18" s="32" t="s">
        <v>56</v>
      </c>
      <c r="J18" s="42">
        <v>1.0</v>
      </c>
      <c r="K18" s="34">
        <v>1.80375566E8</v>
      </c>
      <c r="L18" s="35">
        <v>131306.0</v>
      </c>
      <c r="M18" s="35">
        <v>131306.0</v>
      </c>
      <c r="N18" s="36">
        <f t="shared" si="1"/>
        <v>180375566</v>
      </c>
      <c r="O18" s="37"/>
      <c r="P18" s="37"/>
      <c r="Q18" s="37"/>
      <c r="R18" s="36">
        <f t="shared" si="2"/>
        <v>180375566</v>
      </c>
      <c r="S18" s="35">
        <v>9.297147723E7</v>
      </c>
      <c r="T18" s="38">
        <f t="shared" si="3"/>
        <v>0.5154327678</v>
      </c>
      <c r="U18" s="43">
        <v>9.268713056E7</v>
      </c>
      <c r="V18" s="38">
        <f t="shared" si="4"/>
        <v>0.5138563532</v>
      </c>
      <c r="W18" s="35">
        <v>6.357744376E7</v>
      </c>
      <c r="X18" s="38">
        <f t="shared" si="5"/>
        <v>0.3524725947</v>
      </c>
      <c r="Y18" s="4"/>
      <c r="Z18" s="4"/>
      <c r="AA18" s="4"/>
    </row>
    <row r="19">
      <c r="A19" s="31" t="s">
        <v>48</v>
      </c>
      <c r="B19" s="32" t="s">
        <v>49</v>
      </c>
      <c r="C19" s="32" t="s">
        <v>50</v>
      </c>
      <c r="D19" s="32" t="s">
        <v>64</v>
      </c>
      <c r="E19" s="32" t="s">
        <v>52</v>
      </c>
      <c r="F19" s="32" t="s">
        <v>65</v>
      </c>
      <c r="G19" s="32" t="s">
        <v>54</v>
      </c>
      <c r="H19" s="32" t="s">
        <v>55</v>
      </c>
      <c r="I19" s="32" t="s">
        <v>56</v>
      </c>
      <c r="J19" s="33">
        <v>3.0</v>
      </c>
      <c r="K19" s="34">
        <v>3.0124E7</v>
      </c>
      <c r="L19" s="35">
        <v>2000.0</v>
      </c>
      <c r="M19" s="35">
        <v>1095136.03</v>
      </c>
      <c r="N19" s="36">
        <f t="shared" si="1"/>
        <v>29030863.97</v>
      </c>
      <c r="O19" s="37"/>
      <c r="P19" s="37"/>
      <c r="Q19" s="37"/>
      <c r="R19" s="36">
        <f t="shared" si="2"/>
        <v>29030863.97</v>
      </c>
      <c r="S19" s="35">
        <v>7682203.24</v>
      </c>
      <c r="T19" s="38">
        <f t="shared" si="3"/>
        <v>0.2646219295</v>
      </c>
      <c r="U19" s="39">
        <v>7682082.17</v>
      </c>
      <c r="V19" s="38">
        <f t="shared" si="4"/>
        <v>0.2646177592</v>
      </c>
      <c r="W19" s="35">
        <v>5091017.91</v>
      </c>
      <c r="X19" s="38">
        <f t="shared" si="5"/>
        <v>0.1753657044</v>
      </c>
      <c r="Y19" s="4"/>
      <c r="Z19" s="4"/>
      <c r="AA19" s="4"/>
    </row>
    <row r="20">
      <c r="A20" s="31" t="s">
        <v>48</v>
      </c>
      <c r="B20" s="32" t="s">
        <v>49</v>
      </c>
      <c r="C20" s="32" t="s">
        <v>50</v>
      </c>
      <c r="D20" s="32" t="s">
        <v>66</v>
      </c>
      <c r="E20" s="32" t="s">
        <v>67</v>
      </c>
      <c r="F20" s="32" t="s">
        <v>68</v>
      </c>
      <c r="G20" s="32" t="s">
        <v>54</v>
      </c>
      <c r="H20" s="32" t="s">
        <v>55</v>
      </c>
      <c r="I20" s="32" t="s">
        <v>56</v>
      </c>
      <c r="J20" s="33">
        <v>3.0</v>
      </c>
      <c r="K20" s="34">
        <v>2.8933E7</v>
      </c>
      <c r="L20" s="35">
        <v>346000.0</v>
      </c>
      <c r="M20" s="35">
        <v>346000.0</v>
      </c>
      <c r="N20" s="36">
        <f t="shared" si="1"/>
        <v>28933000</v>
      </c>
      <c r="O20" s="37"/>
      <c r="P20" s="37"/>
      <c r="Q20" s="37"/>
      <c r="R20" s="36">
        <f t="shared" si="2"/>
        <v>28933000</v>
      </c>
      <c r="S20" s="35">
        <v>7373494.29</v>
      </c>
      <c r="T20" s="38">
        <f t="shared" si="3"/>
        <v>0.2548472087</v>
      </c>
      <c r="U20" s="39">
        <v>7372522.08</v>
      </c>
      <c r="V20" s="38">
        <f t="shared" si="4"/>
        <v>0.2548136066</v>
      </c>
      <c r="W20" s="35">
        <v>5131246.85</v>
      </c>
      <c r="X20" s="38">
        <f t="shared" si="5"/>
        <v>0.1773492846</v>
      </c>
      <c r="Y20" s="4"/>
      <c r="Z20" s="4"/>
      <c r="AA20" s="4"/>
    </row>
    <row r="21">
      <c r="A21" s="31" t="s">
        <v>48</v>
      </c>
      <c r="B21" s="32" t="s">
        <v>49</v>
      </c>
      <c r="C21" s="32" t="s">
        <v>50</v>
      </c>
      <c r="D21" s="32" t="s">
        <v>69</v>
      </c>
      <c r="E21" s="32" t="s">
        <v>67</v>
      </c>
      <c r="F21" s="32" t="s">
        <v>70</v>
      </c>
      <c r="G21" s="32" t="s">
        <v>54</v>
      </c>
      <c r="H21" s="32" t="s">
        <v>55</v>
      </c>
      <c r="I21" s="32" t="s">
        <v>56</v>
      </c>
      <c r="J21" s="33">
        <v>3.0</v>
      </c>
      <c r="K21" s="34">
        <v>50000.0</v>
      </c>
      <c r="L21" s="35">
        <v>0.0</v>
      </c>
      <c r="M21" s="35">
        <v>50000.0</v>
      </c>
      <c r="N21" s="36">
        <f t="shared" si="1"/>
        <v>0</v>
      </c>
      <c r="O21" s="37"/>
      <c r="P21" s="37"/>
      <c r="Q21" s="37"/>
      <c r="R21" s="36">
        <f t="shared" si="2"/>
        <v>0</v>
      </c>
      <c r="S21" s="35">
        <v>0.0</v>
      </c>
      <c r="T21" s="38">
        <f t="shared" si="3"/>
        <v>0</v>
      </c>
      <c r="U21" s="39">
        <v>0.0</v>
      </c>
      <c r="V21" s="38">
        <f t="shared" si="4"/>
        <v>0</v>
      </c>
      <c r="W21" s="35">
        <v>0.0</v>
      </c>
      <c r="X21" s="38">
        <f t="shared" si="5"/>
        <v>0</v>
      </c>
      <c r="Y21" s="4"/>
      <c r="Z21" s="4"/>
      <c r="AA21" s="4"/>
    </row>
    <row r="22">
      <c r="A22" s="31" t="s">
        <v>48</v>
      </c>
      <c r="B22" s="32" t="s">
        <v>49</v>
      </c>
      <c r="C22" s="32" t="s">
        <v>50</v>
      </c>
      <c r="D22" s="32" t="s">
        <v>71</v>
      </c>
      <c r="E22" s="32" t="s">
        <v>67</v>
      </c>
      <c r="F22" s="32" t="s">
        <v>72</v>
      </c>
      <c r="G22" s="32" t="s">
        <v>54</v>
      </c>
      <c r="H22" s="32" t="s">
        <v>55</v>
      </c>
      <c r="I22" s="32" t="s">
        <v>56</v>
      </c>
      <c r="J22" s="42">
        <v>1.0</v>
      </c>
      <c r="K22" s="34">
        <v>1.66762665E8</v>
      </c>
      <c r="L22" s="35">
        <v>4355374.26</v>
      </c>
      <c r="M22" s="35">
        <v>4355374.26</v>
      </c>
      <c r="N22" s="36">
        <f t="shared" si="1"/>
        <v>166762665</v>
      </c>
      <c r="O22" s="37"/>
      <c r="P22" s="37"/>
      <c r="Q22" s="37"/>
      <c r="R22" s="36">
        <f t="shared" si="2"/>
        <v>166762665</v>
      </c>
      <c r="S22" s="35">
        <v>7.943030201E7</v>
      </c>
      <c r="T22" s="38">
        <f t="shared" si="3"/>
        <v>0.4763074637</v>
      </c>
      <c r="U22" s="43">
        <v>7.586494198E7</v>
      </c>
      <c r="V22" s="38">
        <f t="shared" si="4"/>
        <v>0.4549276181</v>
      </c>
      <c r="W22" s="35">
        <v>5.338006777E7</v>
      </c>
      <c r="X22" s="38">
        <f t="shared" si="5"/>
        <v>0.3200960345</v>
      </c>
      <c r="Y22" s="4"/>
      <c r="Z22" s="4"/>
      <c r="AA22" s="4"/>
    </row>
    <row r="23">
      <c r="A23" s="31" t="s">
        <v>48</v>
      </c>
      <c r="B23" s="32" t="s">
        <v>49</v>
      </c>
      <c r="C23" s="32" t="s">
        <v>73</v>
      </c>
      <c r="D23" s="32" t="s">
        <v>74</v>
      </c>
      <c r="E23" s="32" t="s">
        <v>52</v>
      </c>
      <c r="F23" s="32" t="s">
        <v>75</v>
      </c>
      <c r="G23" s="32" t="s">
        <v>54</v>
      </c>
      <c r="H23" s="32" t="s">
        <v>55</v>
      </c>
      <c r="I23" s="32" t="s">
        <v>56</v>
      </c>
      <c r="J23" s="42">
        <v>1.0</v>
      </c>
      <c r="K23" s="44">
        <v>580890.0</v>
      </c>
      <c r="L23" s="35">
        <v>0.0</v>
      </c>
      <c r="M23" s="35">
        <v>0.0</v>
      </c>
      <c r="N23" s="45">
        <f t="shared" si="1"/>
        <v>580890</v>
      </c>
      <c r="O23" s="37"/>
      <c r="P23" s="37"/>
      <c r="Q23" s="37"/>
      <c r="R23" s="45">
        <f t="shared" si="2"/>
        <v>580890</v>
      </c>
      <c r="S23" s="34">
        <v>50805.0</v>
      </c>
      <c r="T23" s="46">
        <f t="shared" si="3"/>
        <v>0.08746062077</v>
      </c>
      <c r="U23" s="43">
        <v>50805.0</v>
      </c>
      <c r="V23" s="46">
        <f t="shared" si="4"/>
        <v>0.08746062077</v>
      </c>
      <c r="W23" s="35">
        <v>25015.0</v>
      </c>
      <c r="X23" s="46">
        <f t="shared" si="5"/>
        <v>0.04306323056</v>
      </c>
      <c r="Y23" s="4"/>
      <c r="Z23" s="4"/>
      <c r="AA23" s="4"/>
    </row>
    <row r="24">
      <c r="A24" s="31" t="s">
        <v>48</v>
      </c>
      <c r="B24" s="32" t="s">
        <v>49</v>
      </c>
      <c r="C24" s="32" t="s">
        <v>73</v>
      </c>
      <c r="D24" s="32" t="s">
        <v>76</v>
      </c>
      <c r="E24" s="32" t="s">
        <v>52</v>
      </c>
      <c r="F24" s="32" t="s">
        <v>77</v>
      </c>
      <c r="G24" s="32" t="s">
        <v>54</v>
      </c>
      <c r="H24" s="32" t="s">
        <v>55</v>
      </c>
      <c r="I24" s="32" t="s">
        <v>56</v>
      </c>
      <c r="J24" s="42">
        <v>1.0</v>
      </c>
      <c r="K24" s="44">
        <v>258000.0</v>
      </c>
      <c r="L24" s="35">
        <v>100000.0</v>
      </c>
      <c r="M24" s="35">
        <v>0.0</v>
      </c>
      <c r="N24" s="45">
        <f t="shared" si="1"/>
        <v>358000</v>
      </c>
      <c r="O24" s="37"/>
      <c r="P24" s="37"/>
      <c r="Q24" s="37"/>
      <c r="R24" s="45">
        <f t="shared" si="2"/>
        <v>358000</v>
      </c>
      <c r="S24" s="34">
        <v>298490.0</v>
      </c>
      <c r="T24" s="46">
        <f t="shared" si="3"/>
        <v>0.8337709497</v>
      </c>
      <c r="U24" s="43">
        <v>255860.0</v>
      </c>
      <c r="V24" s="46">
        <f t="shared" si="4"/>
        <v>0.7146927374</v>
      </c>
      <c r="W24" s="35">
        <v>168835.0</v>
      </c>
      <c r="X24" s="46">
        <f t="shared" si="5"/>
        <v>0.4716061453</v>
      </c>
      <c r="Y24" s="4"/>
      <c r="Z24" s="4"/>
      <c r="AA24" s="4"/>
    </row>
    <row r="25">
      <c r="A25" s="31" t="s">
        <v>48</v>
      </c>
      <c r="B25" s="32" t="s">
        <v>49</v>
      </c>
      <c r="C25" s="32" t="s">
        <v>78</v>
      </c>
      <c r="D25" s="32" t="s">
        <v>79</v>
      </c>
      <c r="E25" s="32" t="s">
        <v>80</v>
      </c>
      <c r="F25" s="32" t="s">
        <v>81</v>
      </c>
      <c r="G25" s="32" t="s">
        <v>82</v>
      </c>
      <c r="H25" s="32" t="s">
        <v>55</v>
      </c>
      <c r="I25" s="32" t="s">
        <v>56</v>
      </c>
      <c r="J25" s="42">
        <v>1.0</v>
      </c>
      <c r="K25" s="47">
        <f>187994351-K26</f>
        <v>175416453</v>
      </c>
      <c r="L25" s="48">
        <f t="shared" ref="L25:M25" si="6">21979802-L26</f>
        <v>20580151</v>
      </c>
      <c r="M25" s="48">
        <f t="shared" si="6"/>
        <v>20580151</v>
      </c>
      <c r="N25" s="36">
        <f t="shared" si="1"/>
        <v>175416453</v>
      </c>
      <c r="O25" s="37"/>
      <c r="P25" s="37"/>
      <c r="Q25" s="36">
        <f>-23029016.62-25632500.16</f>
        <v>-48661516.78</v>
      </c>
      <c r="R25" s="36">
        <f t="shared" si="2"/>
        <v>126754936.2</v>
      </c>
      <c r="S25" s="48">
        <f>53923725.8-S26</f>
        <v>45374441.73</v>
      </c>
      <c r="T25" s="38">
        <f t="shared" si="3"/>
        <v>0.3579698202</v>
      </c>
      <c r="U25" s="49">
        <f>26259970.1-U26</f>
        <v>18838226.69</v>
      </c>
      <c r="V25" s="38">
        <f t="shared" si="4"/>
        <v>0.1486192747</v>
      </c>
      <c r="W25" s="48">
        <f>18961013.17-W26</f>
        <v>13476065.21</v>
      </c>
      <c r="X25" s="38">
        <f t="shared" si="5"/>
        <v>0.1063159007</v>
      </c>
      <c r="Y25" s="4"/>
      <c r="Z25" s="4"/>
      <c r="AA25" s="4"/>
    </row>
    <row r="26">
      <c r="A26" s="31" t="s">
        <v>48</v>
      </c>
      <c r="B26" s="32" t="s">
        <v>49</v>
      </c>
      <c r="C26" s="32" t="s">
        <v>78</v>
      </c>
      <c r="D26" s="32" t="s">
        <v>79</v>
      </c>
      <c r="E26" s="32" t="s">
        <v>80</v>
      </c>
      <c r="F26" s="32" t="s">
        <v>81</v>
      </c>
      <c r="G26" s="32" t="s">
        <v>82</v>
      </c>
      <c r="H26" s="32" t="s">
        <v>55</v>
      </c>
      <c r="I26" s="32" t="s">
        <v>56</v>
      </c>
      <c r="J26" s="33">
        <v>3.0</v>
      </c>
      <c r="K26" s="47">
        <f>12577898</f>
        <v>12577898</v>
      </c>
      <c r="L26" s="35">
        <v>1399651.0</v>
      </c>
      <c r="M26" s="35">
        <v>1399651.0</v>
      </c>
      <c r="N26" s="36">
        <f t="shared" si="1"/>
        <v>12577898</v>
      </c>
      <c r="O26" s="37"/>
      <c r="P26" s="37"/>
      <c r="Q26" s="37"/>
      <c r="R26" s="36">
        <f t="shared" si="2"/>
        <v>12577898</v>
      </c>
      <c r="S26" s="48">
        <f>176048.82+6973757.45+1399477.8</f>
        <v>8549284.07</v>
      </c>
      <c r="T26" s="38">
        <f t="shared" si="3"/>
        <v>0.6797069009</v>
      </c>
      <c r="U26" s="50">
        <f>176048.82+5846216.79+1399477.8</f>
        <v>7421743.41</v>
      </c>
      <c r="V26" s="38">
        <f t="shared" si="4"/>
        <v>0.590062299</v>
      </c>
      <c r="W26" s="47">
        <f>176048.82+4663248.77+645650.37</f>
        <v>5484947.96</v>
      </c>
      <c r="X26" s="38">
        <f t="shared" si="5"/>
        <v>0.4360782668</v>
      </c>
      <c r="Y26" s="4"/>
      <c r="Z26" s="4"/>
      <c r="AA26" s="4"/>
    </row>
    <row r="27">
      <c r="A27" s="31" t="s">
        <v>48</v>
      </c>
      <c r="B27" s="51" t="s">
        <v>49</v>
      </c>
      <c r="C27" s="51" t="s">
        <v>83</v>
      </c>
      <c r="D27" s="51" t="s">
        <v>84</v>
      </c>
      <c r="E27" s="51" t="s">
        <v>85</v>
      </c>
      <c r="F27" s="51" t="s">
        <v>86</v>
      </c>
      <c r="G27" s="51" t="s">
        <v>54</v>
      </c>
      <c r="H27" s="51" t="s">
        <v>55</v>
      </c>
      <c r="I27" s="32" t="s">
        <v>56</v>
      </c>
      <c r="J27" s="42">
        <v>1.0</v>
      </c>
      <c r="K27" s="35">
        <v>7095000.0</v>
      </c>
      <c r="L27" s="35">
        <v>1093136.03</v>
      </c>
      <c r="M27" s="35">
        <v>0.0</v>
      </c>
      <c r="N27" s="36">
        <f t="shared" si="1"/>
        <v>8188136.03</v>
      </c>
      <c r="O27" s="37"/>
      <c r="P27" s="37"/>
      <c r="Q27" s="37"/>
      <c r="R27" s="36">
        <f t="shared" si="2"/>
        <v>8188136.03</v>
      </c>
      <c r="S27" s="35">
        <v>79439.33</v>
      </c>
      <c r="T27" s="38">
        <f t="shared" si="3"/>
        <v>0.009701759925</v>
      </c>
      <c r="U27" s="43">
        <v>79439.33</v>
      </c>
      <c r="V27" s="38">
        <f t="shared" si="4"/>
        <v>0.009701759925</v>
      </c>
      <c r="W27" s="35">
        <v>79439.33</v>
      </c>
      <c r="X27" s="38">
        <f t="shared" si="5"/>
        <v>0.009701759925</v>
      </c>
      <c r="Y27" s="4"/>
      <c r="Z27" s="4"/>
      <c r="AA27" s="4"/>
    </row>
    <row r="28" ht="15.75" customHeight="1">
      <c r="A28" s="52" t="s">
        <v>87</v>
      </c>
      <c r="B28" s="2"/>
      <c r="C28" s="2"/>
      <c r="D28" s="2"/>
      <c r="E28" s="2"/>
      <c r="F28" s="2"/>
      <c r="G28" s="2"/>
      <c r="H28" s="2"/>
      <c r="I28" s="2"/>
      <c r="J28" s="3"/>
      <c r="K28" s="53">
        <f t="shared" ref="K28:S28" si="7">SUM(K14:K27)</f>
        <v>1272567000</v>
      </c>
      <c r="L28" s="53">
        <f t="shared" si="7"/>
        <v>70646942.83</v>
      </c>
      <c r="M28" s="53">
        <f t="shared" si="7"/>
        <v>40646942.83</v>
      </c>
      <c r="N28" s="53">
        <f t="shared" si="7"/>
        <v>1302567000</v>
      </c>
      <c r="O28" s="53">
        <f t="shared" si="7"/>
        <v>0</v>
      </c>
      <c r="P28" s="53">
        <f t="shared" si="7"/>
        <v>0</v>
      </c>
      <c r="Q28" s="53">
        <f t="shared" si="7"/>
        <v>-48661516.78</v>
      </c>
      <c r="R28" s="53">
        <f t="shared" si="7"/>
        <v>1253905483</v>
      </c>
      <c r="S28" s="53">
        <f t="shared" si="7"/>
        <v>540283713.4</v>
      </c>
      <c r="T28" s="54">
        <f t="shared" si="3"/>
        <v>0.4308807327</v>
      </c>
      <c r="U28" s="53">
        <f>SUM(U14:U27)</f>
        <v>496438463.7</v>
      </c>
      <c r="V28" s="54">
        <f t="shared" si="4"/>
        <v>0.3959137832</v>
      </c>
      <c r="W28" s="53">
        <f>SUM(W14:W27)</f>
        <v>355355393.7</v>
      </c>
      <c r="X28" s="54">
        <f t="shared" si="5"/>
        <v>0.2833988673</v>
      </c>
      <c r="Y28" s="4"/>
      <c r="Z28" s="4"/>
      <c r="AA28" s="4"/>
    </row>
    <row r="29" ht="15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56"/>
      <c r="V29" s="57"/>
      <c r="W29" s="56"/>
      <c r="X29" s="57"/>
      <c r="Y29" s="4"/>
      <c r="Z29" s="4"/>
      <c r="AA29" s="4"/>
    </row>
    <row r="30" ht="15.7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9"/>
      <c r="L30" s="59"/>
      <c r="M30" s="59"/>
      <c r="N30" s="59"/>
      <c r="O30" s="59"/>
      <c r="P30" s="59"/>
      <c r="Q30" s="59"/>
      <c r="R30" s="59"/>
      <c r="S30" s="59"/>
      <c r="T30" s="60"/>
      <c r="U30" s="59"/>
      <c r="V30" s="60"/>
      <c r="W30" s="59"/>
      <c r="X30" s="60"/>
      <c r="Y30" s="4"/>
      <c r="Z30" s="4"/>
      <c r="AA30" s="4"/>
    </row>
    <row r="31">
      <c r="A31" s="31" t="s">
        <v>88</v>
      </c>
      <c r="B31" s="32" t="s">
        <v>89</v>
      </c>
      <c r="C31" s="32" t="s">
        <v>50</v>
      </c>
      <c r="D31" s="32" t="s">
        <v>90</v>
      </c>
      <c r="E31" s="32" t="s">
        <v>52</v>
      </c>
      <c r="F31" s="32" t="s">
        <v>91</v>
      </c>
      <c r="G31" s="32" t="s">
        <v>54</v>
      </c>
      <c r="H31" s="32" t="s">
        <v>92</v>
      </c>
      <c r="I31" s="32" t="s">
        <v>93</v>
      </c>
      <c r="J31" s="61">
        <v>4.0</v>
      </c>
      <c r="K31" s="44">
        <v>5700000.0</v>
      </c>
      <c r="L31" s="35">
        <v>0.0</v>
      </c>
      <c r="M31" s="35">
        <v>0.0</v>
      </c>
      <c r="N31" s="36">
        <f t="shared" ref="N31:N66" si="8">K31+L31-M31</f>
        <v>5700000</v>
      </c>
      <c r="O31" s="37"/>
      <c r="P31" s="37"/>
      <c r="Q31" s="37"/>
      <c r="R31" s="36">
        <f t="shared" ref="R31:R66" si="9">N31-O31+P31+Q31</f>
        <v>5700000</v>
      </c>
      <c r="S31" s="44">
        <v>3919341.19</v>
      </c>
      <c r="T31" s="38">
        <f t="shared" ref="T31:T68" si="10">IF(R31&gt;0,S31/R31,0)</f>
        <v>0.6876037175</v>
      </c>
      <c r="U31" s="62">
        <v>882952.88</v>
      </c>
      <c r="V31" s="38">
        <f t="shared" ref="V31:V64" si="11">IF(R31&gt;0,U31/R31,0)</f>
        <v>0.154904014</v>
      </c>
      <c r="W31" s="35">
        <v>882952.88</v>
      </c>
      <c r="X31" s="38">
        <f t="shared" ref="X31:X68" si="12">IF(R31&gt;0,W31/R31,0)</f>
        <v>0.154904014</v>
      </c>
      <c r="Y31" s="4"/>
      <c r="Z31" s="4"/>
      <c r="AA31" s="4"/>
    </row>
    <row r="32">
      <c r="A32" s="31" t="s">
        <v>88</v>
      </c>
      <c r="B32" s="32" t="s">
        <v>89</v>
      </c>
      <c r="C32" s="32" t="s">
        <v>50</v>
      </c>
      <c r="D32" s="32" t="s">
        <v>94</v>
      </c>
      <c r="E32" s="32" t="s">
        <v>52</v>
      </c>
      <c r="F32" s="32" t="s">
        <v>91</v>
      </c>
      <c r="G32" s="32" t="s">
        <v>54</v>
      </c>
      <c r="H32" s="32" t="s">
        <v>95</v>
      </c>
      <c r="I32" s="32" t="s">
        <v>93</v>
      </c>
      <c r="J32" s="61">
        <v>4.0</v>
      </c>
      <c r="K32" s="44">
        <v>0.0</v>
      </c>
      <c r="L32" s="35">
        <v>6763697.44</v>
      </c>
      <c r="M32" s="35">
        <v>0.0</v>
      </c>
      <c r="N32" s="36">
        <f t="shared" si="8"/>
        <v>6763697.44</v>
      </c>
      <c r="O32" s="37"/>
      <c r="P32" s="37"/>
      <c r="Q32" s="37"/>
      <c r="R32" s="36">
        <f t="shared" si="9"/>
        <v>6763697.44</v>
      </c>
      <c r="S32" s="44">
        <v>6763697.44</v>
      </c>
      <c r="T32" s="38">
        <f t="shared" si="10"/>
        <v>1</v>
      </c>
      <c r="U32" s="62">
        <v>963166.8</v>
      </c>
      <c r="V32" s="38">
        <f t="shared" si="11"/>
        <v>0.1424024076</v>
      </c>
      <c r="W32" s="35">
        <v>963166.8</v>
      </c>
      <c r="X32" s="38">
        <f t="shared" si="12"/>
        <v>0.1424024076</v>
      </c>
      <c r="Y32" s="4"/>
      <c r="Z32" s="4"/>
      <c r="AA32" s="4"/>
    </row>
    <row r="33">
      <c r="A33" s="31" t="s">
        <v>88</v>
      </c>
      <c r="B33" s="32" t="s">
        <v>89</v>
      </c>
      <c r="C33" s="32" t="s">
        <v>50</v>
      </c>
      <c r="D33" s="32" t="s">
        <v>96</v>
      </c>
      <c r="E33" s="32" t="s">
        <v>52</v>
      </c>
      <c r="F33" s="32" t="s">
        <v>91</v>
      </c>
      <c r="G33" s="32" t="s">
        <v>54</v>
      </c>
      <c r="H33" s="32" t="s">
        <v>92</v>
      </c>
      <c r="I33" s="32" t="s">
        <v>93</v>
      </c>
      <c r="J33" s="61">
        <v>4.0</v>
      </c>
      <c r="K33" s="44">
        <v>2.6E7</v>
      </c>
      <c r="L33" s="35">
        <v>0.0</v>
      </c>
      <c r="M33" s="35">
        <v>2931364.22</v>
      </c>
      <c r="N33" s="36">
        <f t="shared" si="8"/>
        <v>23068635.78</v>
      </c>
      <c r="O33" s="37"/>
      <c r="P33" s="37"/>
      <c r="Q33" s="37"/>
      <c r="R33" s="36">
        <f t="shared" si="9"/>
        <v>23068635.78</v>
      </c>
      <c r="S33" s="44">
        <v>1.57383032E7</v>
      </c>
      <c r="T33" s="38">
        <f t="shared" si="10"/>
        <v>0.6822381414</v>
      </c>
      <c r="U33" s="62">
        <v>4605552.47</v>
      </c>
      <c r="V33" s="38">
        <f t="shared" si="11"/>
        <v>0.1996456363</v>
      </c>
      <c r="W33" s="35">
        <v>4605552.47</v>
      </c>
      <c r="X33" s="38">
        <f t="shared" si="12"/>
        <v>0.1996456363</v>
      </c>
      <c r="Y33" s="4"/>
      <c r="Z33" s="4"/>
      <c r="AA33" s="4"/>
    </row>
    <row r="34">
      <c r="A34" s="31" t="s">
        <v>88</v>
      </c>
      <c r="B34" s="32" t="s">
        <v>89</v>
      </c>
      <c r="C34" s="32" t="s">
        <v>50</v>
      </c>
      <c r="D34" s="32" t="s">
        <v>97</v>
      </c>
      <c r="E34" s="32" t="s">
        <v>52</v>
      </c>
      <c r="F34" s="32" t="s">
        <v>91</v>
      </c>
      <c r="G34" s="32" t="s">
        <v>54</v>
      </c>
      <c r="H34" s="32" t="s">
        <v>92</v>
      </c>
      <c r="I34" s="32" t="s">
        <v>93</v>
      </c>
      <c r="J34" s="61">
        <v>4.0</v>
      </c>
      <c r="K34" s="44">
        <v>6150000.0</v>
      </c>
      <c r="L34" s="35">
        <v>504005.81</v>
      </c>
      <c r="M34" s="35">
        <v>0.0</v>
      </c>
      <c r="N34" s="36">
        <f t="shared" si="8"/>
        <v>6654005.81</v>
      </c>
      <c r="O34" s="37"/>
      <c r="P34" s="37"/>
      <c r="Q34" s="37"/>
      <c r="R34" s="36">
        <f t="shared" si="9"/>
        <v>6654005.81</v>
      </c>
      <c r="S34" s="44">
        <v>6654005.81</v>
      </c>
      <c r="T34" s="38">
        <f t="shared" si="10"/>
        <v>1</v>
      </c>
      <c r="U34" s="62">
        <v>253041.3</v>
      </c>
      <c r="V34" s="38">
        <f t="shared" si="11"/>
        <v>0.03802841585</v>
      </c>
      <c r="W34" s="35">
        <v>253041.3</v>
      </c>
      <c r="X34" s="38">
        <f t="shared" si="12"/>
        <v>0.03802841585</v>
      </c>
      <c r="Y34" s="4"/>
      <c r="Z34" s="4"/>
      <c r="AA34" s="4"/>
    </row>
    <row r="35">
      <c r="A35" s="31" t="s">
        <v>88</v>
      </c>
      <c r="B35" s="32" t="s">
        <v>89</v>
      </c>
      <c r="C35" s="32" t="s">
        <v>50</v>
      </c>
      <c r="D35" s="32" t="s">
        <v>98</v>
      </c>
      <c r="E35" s="32" t="s">
        <v>52</v>
      </c>
      <c r="F35" s="32" t="s">
        <v>91</v>
      </c>
      <c r="G35" s="32" t="s">
        <v>54</v>
      </c>
      <c r="H35" s="32" t="s">
        <v>92</v>
      </c>
      <c r="I35" s="32" t="s">
        <v>93</v>
      </c>
      <c r="J35" s="61">
        <v>4.0</v>
      </c>
      <c r="K35" s="44">
        <v>0.0</v>
      </c>
      <c r="L35" s="35">
        <v>5800000.0</v>
      </c>
      <c r="M35" s="35">
        <v>0.0</v>
      </c>
      <c r="N35" s="36">
        <f t="shared" si="8"/>
        <v>5800000</v>
      </c>
      <c r="O35" s="37"/>
      <c r="P35" s="37"/>
      <c r="Q35" s="37"/>
      <c r="R35" s="36">
        <f t="shared" si="9"/>
        <v>5800000</v>
      </c>
      <c r="S35" s="44">
        <v>5800000.0</v>
      </c>
      <c r="T35" s="38">
        <f t="shared" si="10"/>
        <v>1</v>
      </c>
      <c r="U35" s="62">
        <v>1304152.61</v>
      </c>
      <c r="V35" s="38">
        <f t="shared" si="11"/>
        <v>0.2248538983</v>
      </c>
      <c r="W35" s="35">
        <v>1304152.61</v>
      </c>
      <c r="X35" s="38">
        <f t="shared" si="12"/>
        <v>0.2248538983</v>
      </c>
      <c r="Y35" s="4"/>
      <c r="Z35" s="4"/>
      <c r="AA35" s="4"/>
    </row>
    <row r="36">
      <c r="A36" s="31" t="s">
        <v>88</v>
      </c>
      <c r="B36" s="32" t="s">
        <v>89</v>
      </c>
      <c r="C36" s="32" t="s">
        <v>50</v>
      </c>
      <c r="D36" s="32" t="s">
        <v>99</v>
      </c>
      <c r="E36" s="32" t="s">
        <v>52</v>
      </c>
      <c r="F36" s="32" t="s">
        <v>91</v>
      </c>
      <c r="G36" s="32" t="s">
        <v>54</v>
      </c>
      <c r="H36" s="32" t="s">
        <v>92</v>
      </c>
      <c r="I36" s="32" t="s">
        <v>93</v>
      </c>
      <c r="J36" s="61">
        <v>4.0</v>
      </c>
      <c r="K36" s="44">
        <v>5800000.0</v>
      </c>
      <c r="L36" s="35">
        <v>0.0</v>
      </c>
      <c r="M36" s="35">
        <v>0.0</v>
      </c>
      <c r="N36" s="36">
        <f t="shared" si="8"/>
        <v>5800000</v>
      </c>
      <c r="O36" s="37"/>
      <c r="P36" s="37"/>
      <c r="Q36" s="37"/>
      <c r="R36" s="36">
        <f t="shared" si="9"/>
        <v>5800000</v>
      </c>
      <c r="S36" s="44">
        <v>4560746.93</v>
      </c>
      <c r="T36" s="38">
        <f t="shared" si="10"/>
        <v>0.7863356776</v>
      </c>
      <c r="U36" s="62">
        <v>1477369.89</v>
      </c>
      <c r="V36" s="38">
        <f t="shared" si="11"/>
        <v>0.2547189466</v>
      </c>
      <c r="W36" s="35">
        <v>1477369.89</v>
      </c>
      <c r="X36" s="38">
        <f t="shared" si="12"/>
        <v>0.2547189466</v>
      </c>
      <c r="Y36" s="4"/>
      <c r="Z36" s="4"/>
      <c r="AA36" s="4"/>
    </row>
    <row r="37">
      <c r="A37" s="31" t="s">
        <v>88</v>
      </c>
      <c r="B37" s="32" t="s">
        <v>89</v>
      </c>
      <c r="C37" s="32" t="s">
        <v>50</v>
      </c>
      <c r="D37" s="32" t="s">
        <v>99</v>
      </c>
      <c r="E37" s="32" t="s">
        <v>52</v>
      </c>
      <c r="F37" s="32" t="s">
        <v>91</v>
      </c>
      <c r="G37" s="32" t="s">
        <v>54</v>
      </c>
      <c r="H37" s="32" t="s">
        <v>95</v>
      </c>
      <c r="I37" s="32" t="s">
        <v>93</v>
      </c>
      <c r="J37" s="61">
        <v>4.0</v>
      </c>
      <c r="K37" s="44">
        <v>0.0</v>
      </c>
      <c r="L37" s="35">
        <v>3328844.83</v>
      </c>
      <c r="M37" s="35">
        <v>0.0</v>
      </c>
      <c r="N37" s="36">
        <f t="shared" si="8"/>
        <v>3328844.83</v>
      </c>
      <c r="O37" s="37"/>
      <c r="P37" s="37"/>
      <c r="Q37" s="37"/>
      <c r="R37" s="36">
        <f t="shared" si="9"/>
        <v>3328844.83</v>
      </c>
      <c r="S37" s="44">
        <v>3328844.83</v>
      </c>
      <c r="T37" s="38">
        <f t="shared" si="10"/>
        <v>1</v>
      </c>
      <c r="U37" s="62">
        <v>649831.48</v>
      </c>
      <c r="V37" s="38">
        <f t="shared" si="11"/>
        <v>0.1952123073</v>
      </c>
      <c r="W37" s="35">
        <v>649831.48</v>
      </c>
      <c r="X37" s="38">
        <f t="shared" si="12"/>
        <v>0.1952123073</v>
      </c>
      <c r="Y37" s="4"/>
      <c r="Z37" s="4"/>
      <c r="AA37" s="4"/>
    </row>
    <row r="38">
      <c r="A38" s="31" t="s">
        <v>88</v>
      </c>
      <c r="B38" s="32" t="s">
        <v>89</v>
      </c>
      <c r="C38" s="32" t="s">
        <v>50</v>
      </c>
      <c r="D38" s="32" t="s">
        <v>100</v>
      </c>
      <c r="E38" s="32" t="s">
        <v>52</v>
      </c>
      <c r="F38" s="32" t="s">
        <v>91</v>
      </c>
      <c r="G38" s="32" t="s">
        <v>54</v>
      </c>
      <c r="H38" s="32" t="s">
        <v>92</v>
      </c>
      <c r="I38" s="32" t="s">
        <v>93</v>
      </c>
      <c r="J38" s="61">
        <v>4.0</v>
      </c>
      <c r="K38" s="44">
        <v>8500000.0</v>
      </c>
      <c r="L38" s="35">
        <v>0.0</v>
      </c>
      <c r="M38" s="35">
        <v>504005.81</v>
      </c>
      <c r="N38" s="36">
        <f t="shared" si="8"/>
        <v>7995994.19</v>
      </c>
      <c r="O38" s="37"/>
      <c r="P38" s="37"/>
      <c r="Q38" s="37"/>
      <c r="R38" s="36">
        <f t="shared" si="9"/>
        <v>7995994.19</v>
      </c>
      <c r="S38" s="44">
        <v>6671994.23</v>
      </c>
      <c r="T38" s="38">
        <f t="shared" si="10"/>
        <v>0.8344170933</v>
      </c>
      <c r="U38" s="62">
        <v>820831.87</v>
      </c>
      <c r="V38" s="38">
        <f t="shared" si="11"/>
        <v>0.102655386</v>
      </c>
      <c r="W38" s="35">
        <v>820831.87</v>
      </c>
      <c r="X38" s="38">
        <f t="shared" si="12"/>
        <v>0.102655386</v>
      </c>
      <c r="Y38" s="4"/>
      <c r="Z38" s="4"/>
      <c r="AA38" s="4"/>
    </row>
    <row r="39">
      <c r="A39" s="31" t="s">
        <v>88</v>
      </c>
      <c r="B39" s="32" t="s">
        <v>89</v>
      </c>
      <c r="C39" s="32" t="s">
        <v>50</v>
      </c>
      <c r="D39" s="32" t="s">
        <v>101</v>
      </c>
      <c r="E39" s="32" t="s">
        <v>52</v>
      </c>
      <c r="F39" s="32" t="s">
        <v>91</v>
      </c>
      <c r="G39" s="32" t="s">
        <v>54</v>
      </c>
      <c r="H39" s="32" t="s">
        <v>92</v>
      </c>
      <c r="I39" s="32" t="s">
        <v>93</v>
      </c>
      <c r="J39" s="61">
        <v>4.0</v>
      </c>
      <c r="K39" s="44">
        <v>3.475E7</v>
      </c>
      <c r="L39" s="35">
        <v>2931364.22</v>
      </c>
      <c r="M39" s="35">
        <v>5800000.0</v>
      </c>
      <c r="N39" s="36">
        <f t="shared" si="8"/>
        <v>31881364.22</v>
      </c>
      <c r="O39" s="37"/>
      <c r="P39" s="37"/>
      <c r="Q39" s="37"/>
      <c r="R39" s="36">
        <f t="shared" si="9"/>
        <v>31881364.22</v>
      </c>
      <c r="S39" s="44">
        <v>3.147436668E7</v>
      </c>
      <c r="T39" s="38">
        <f t="shared" si="10"/>
        <v>0.9872339986</v>
      </c>
      <c r="U39" s="62">
        <v>1.481282206E7</v>
      </c>
      <c r="V39" s="38">
        <f t="shared" si="11"/>
        <v>0.4646232187</v>
      </c>
      <c r="W39" s="35">
        <v>1.481282206E7</v>
      </c>
      <c r="X39" s="38">
        <f t="shared" si="12"/>
        <v>0.4646232187</v>
      </c>
      <c r="Y39" s="4"/>
      <c r="Z39" s="4"/>
      <c r="AA39" s="4"/>
    </row>
    <row r="40">
      <c r="A40" s="31" t="s">
        <v>88</v>
      </c>
      <c r="B40" s="32" t="s">
        <v>89</v>
      </c>
      <c r="C40" s="32" t="s">
        <v>50</v>
      </c>
      <c r="D40" s="32" t="s">
        <v>101</v>
      </c>
      <c r="E40" s="32" t="s">
        <v>52</v>
      </c>
      <c r="F40" s="32" t="s">
        <v>91</v>
      </c>
      <c r="G40" s="32" t="s">
        <v>54</v>
      </c>
      <c r="H40" s="32" t="s">
        <v>95</v>
      </c>
      <c r="I40" s="32" t="s">
        <v>93</v>
      </c>
      <c r="J40" s="61">
        <v>4.0</v>
      </c>
      <c r="K40" s="44">
        <v>0.0</v>
      </c>
      <c r="L40" s="35">
        <v>2445067.12</v>
      </c>
      <c r="M40" s="35">
        <v>0.0</v>
      </c>
      <c r="N40" s="36">
        <f t="shared" si="8"/>
        <v>2445067.12</v>
      </c>
      <c r="O40" s="37"/>
      <c r="P40" s="37"/>
      <c r="Q40" s="37"/>
      <c r="R40" s="36">
        <f t="shared" si="9"/>
        <v>2445067.12</v>
      </c>
      <c r="S40" s="44">
        <v>2333262.1</v>
      </c>
      <c r="T40" s="38">
        <f t="shared" si="10"/>
        <v>0.9542732307</v>
      </c>
      <c r="U40" s="62">
        <v>0.0</v>
      </c>
      <c r="V40" s="38">
        <f t="shared" si="11"/>
        <v>0</v>
      </c>
      <c r="W40" s="35">
        <v>0.0</v>
      </c>
      <c r="X40" s="38">
        <f t="shared" si="12"/>
        <v>0</v>
      </c>
      <c r="Y40" s="4"/>
      <c r="Z40" s="4"/>
      <c r="AA40" s="4"/>
    </row>
    <row r="41">
      <c r="A41" s="31" t="s">
        <v>88</v>
      </c>
      <c r="B41" s="32" t="s">
        <v>89</v>
      </c>
      <c r="C41" s="32" t="s">
        <v>50</v>
      </c>
      <c r="D41" s="32" t="s">
        <v>102</v>
      </c>
      <c r="E41" s="32" t="s">
        <v>52</v>
      </c>
      <c r="F41" s="32" t="s">
        <v>103</v>
      </c>
      <c r="G41" s="32" t="s">
        <v>54</v>
      </c>
      <c r="H41" s="32" t="s">
        <v>92</v>
      </c>
      <c r="I41" s="32" t="s">
        <v>93</v>
      </c>
      <c r="J41" s="61">
        <v>4.0</v>
      </c>
      <c r="K41" s="44">
        <v>1580250.0</v>
      </c>
      <c r="L41" s="35">
        <v>0.0</v>
      </c>
      <c r="M41" s="35">
        <v>0.0</v>
      </c>
      <c r="N41" s="36">
        <f t="shared" si="8"/>
        <v>1580250</v>
      </c>
      <c r="O41" s="37"/>
      <c r="P41" s="37"/>
      <c r="Q41" s="37"/>
      <c r="R41" s="36">
        <f t="shared" si="9"/>
        <v>1580250</v>
      </c>
      <c r="S41" s="44">
        <v>237250.0</v>
      </c>
      <c r="T41" s="38">
        <f t="shared" si="10"/>
        <v>0.1501344724</v>
      </c>
      <c r="U41" s="62">
        <v>237250.0</v>
      </c>
      <c r="V41" s="38">
        <f t="shared" si="11"/>
        <v>0.1501344724</v>
      </c>
      <c r="W41" s="35">
        <v>237250.0</v>
      </c>
      <c r="X41" s="38">
        <f t="shared" si="12"/>
        <v>0.1501344724</v>
      </c>
      <c r="Y41" s="4"/>
      <c r="Z41" s="4"/>
      <c r="AA41" s="4"/>
    </row>
    <row r="42">
      <c r="A42" s="31" t="s">
        <v>88</v>
      </c>
      <c r="B42" s="32" t="s">
        <v>89</v>
      </c>
      <c r="C42" s="32" t="s">
        <v>50</v>
      </c>
      <c r="D42" s="32" t="s">
        <v>51</v>
      </c>
      <c r="E42" s="32" t="s">
        <v>52</v>
      </c>
      <c r="F42" s="32" t="s">
        <v>104</v>
      </c>
      <c r="G42" s="32" t="s">
        <v>54</v>
      </c>
      <c r="H42" s="32" t="s">
        <v>92</v>
      </c>
      <c r="I42" s="32" t="s">
        <v>93</v>
      </c>
      <c r="J42" s="33">
        <v>3.0</v>
      </c>
      <c r="K42" s="63">
        <f>134024300-K43</f>
        <v>131262000</v>
      </c>
      <c r="L42" s="48">
        <f>5458309.92-L43</f>
        <v>5433509.92</v>
      </c>
      <c r="M42" s="35">
        <v>3215590.17</v>
      </c>
      <c r="N42" s="36">
        <f t="shared" si="8"/>
        <v>133479919.8</v>
      </c>
      <c r="O42" s="37"/>
      <c r="P42" s="37"/>
      <c r="Q42" s="37"/>
      <c r="R42" s="36">
        <f t="shared" si="9"/>
        <v>133479919.8</v>
      </c>
      <c r="S42" s="63">
        <f>120036653.03-S43</f>
        <v>117371505.9</v>
      </c>
      <c r="T42" s="38">
        <f t="shared" si="10"/>
        <v>0.8793195717</v>
      </c>
      <c r="U42" s="50">
        <f>53403690.97-U43</f>
        <v>51859374.87</v>
      </c>
      <c r="V42" s="38">
        <f t="shared" si="11"/>
        <v>0.3885181754</v>
      </c>
      <c r="W42" s="48">
        <f>52807949.29-W43</f>
        <v>51263633.19</v>
      </c>
      <c r="X42" s="38">
        <f t="shared" si="12"/>
        <v>0.3840550196</v>
      </c>
      <c r="Y42" s="4"/>
      <c r="Z42" s="4"/>
      <c r="AA42" s="4"/>
    </row>
    <row r="43">
      <c r="A43" s="31" t="s">
        <v>88</v>
      </c>
      <c r="B43" s="32" t="s">
        <v>89</v>
      </c>
      <c r="C43" s="32" t="s">
        <v>50</v>
      </c>
      <c r="D43" s="32" t="s">
        <v>51</v>
      </c>
      <c r="E43" s="32" t="s">
        <v>52</v>
      </c>
      <c r="F43" s="32" t="s">
        <v>104</v>
      </c>
      <c r="G43" s="32" t="s">
        <v>54</v>
      </c>
      <c r="H43" s="32" t="s">
        <v>92</v>
      </c>
      <c r="I43" s="32" t="s">
        <v>93</v>
      </c>
      <c r="J43" s="61">
        <v>4.0</v>
      </c>
      <c r="K43" s="63">
        <f>2762300</f>
        <v>2762300</v>
      </c>
      <c r="L43" s="48">
        <f>24800</f>
        <v>24800</v>
      </c>
      <c r="M43" s="35">
        <v>0.0</v>
      </c>
      <c r="N43" s="36">
        <f t="shared" si="8"/>
        <v>2787100</v>
      </c>
      <c r="O43" s="37"/>
      <c r="P43" s="37"/>
      <c r="Q43" s="37"/>
      <c r="R43" s="36">
        <f t="shared" si="9"/>
        <v>2787100</v>
      </c>
      <c r="S43" s="48">
        <f>3682+35002+22119.42+11262.95+137439+7490+1000+902595.14+93000+233616.4+15279.05+997771.79+204889.42</f>
        <v>2665147.17</v>
      </c>
      <c r="T43" s="38">
        <f t="shared" si="10"/>
        <v>0.9562438269</v>
      </c>
      <c r="U43" s="64">
        <f>35002+137439+93000+233616.4+15279.05+997179.75+32799.9</f>
        <v>1544316.1</v>
      </c>
      <c r="V43" s="38">
        <f t="shared" si="11"/>
        <v>0.5540942557</v>
      </c>
      <c r="W43" s="48">
        <f>35002+137439+93000+233616.4+15279.05+997179.75+32799.9</f>
        <v>1544316.1</v>
      </c>
      <c r="X43" s="38">
        <f t="shared" si="12"/>
        <v>0.5540942557</v>
      </c>
      <c r="Y43" s="4"/>
      <c r="Z43" s="4"/>
      <c r="AA43" s="4"/>
    </row>
    <row r="44" ht="43.5" customHeight="1">
      <c r="A44" s="31" t="s">
        <v>88</v>
      </c>
      <c r="B44" s="32" t="s">
        <v>89</v>
      </c>
      <c r="C44" s="32" t="s">
        <v>50</v>
      </c>
      <c r="D44" s="32" t="s">
        <v>51</v>
      </c>
      <c r="E44" s="32" t="s">
        <v>52</v>
      </c>
      <c r="F44" s="32" t="s">
        <v>104</v>
      </c>
      <c r="G44" s="32" t="s">
        <v>54</v>
      </c>
      <c r="H44" s="32" t="s">
        <v>95</v>
      </c>
      <c r="I44" s="32" t="s">
        <v>93</v>
      </c>
      <c r="J44" s="33">
        <v>3.0</v>
      </c>
      <c r="K44" s="44">
        <v>0.0</v>
      </c>
      <c r="L44" s="48">
        <f>25966668.43-L45</f>
        <v>24601754.87</v>
      </c>
      <c r="M44" s="48">
        <f>149829.21</f>
        <v>149829.21</v>
      </c>
      <c r="N44" s="36">
        <f t="shared" si="8"/>
        <v>24451925.66</v>
      </c>
      <c r="O44" s="37"/>
      <c r="P44" s="37"/>
      <c r="Q44" s="37"/>
      <c r="R44" s="36">
        <f t="shared" si="9"/>
        <v>24451925.66</v>
      </c>
      <c r="S44" s="48">
        <f>12082864.67-S45</f>
        <v>10896772.11</v>
      </c>
      <c r="T44" s="38">
        <f t="shared" si="10"/>
        <v>0.4456406527</v>
      </c>
      <c r="U44" s="50">
        <f>1085325.1-U45</f>
        <v>388968.54</v>
      </c>
      <c r="V44" s="38">
        <f t="shared" si="11"/>
        <v>0.01590748088</v>
      </c>
      <c r="W44" s="48">
        <f>1085325.1-W45</f>
        <v>388968.54</v>
      </c>
      <c r="X44" s="38">
        <f t="shared" si="12"/>
        <v>0.01590748088</v>
      </c>
      <c r="Y44" s="4"/>
      <c r="Z44" s="4"/>
      <c r="AA44" s="4"/>
    </row>
    <row r="45" ht="43.5" customHeight="1">
      <c r="A45" s="31" t="s">
        <v>88</v>
      </c>
      <c r="B45" s="32" t="s">
        <v>89</v>
      </c>
      <c r="C45" s="32" t="s">
        <v>50</v>
      </c>
      <c r="D45" s="32" t="s">
        <v>51</v>
      </c>
      <c r="E45" s="32" t="s">
        <v>52</v>
      </c>
      <c r="F45" s="32" t="s">
        <v>104</v>
      </c>
      <c r="G45" s="32" t="s">
        <v>54</v>
      </c>
      <c r="H45" s="32" t="s">
        <v>95</v>
      </c>
      <c r="I45" s="32" t="s">
        <v>93</v>
      </c>
      <c r="J45" s="61">
        <v>4.0</v>
      </c>
      <c r="K45" s="44">
        <v>0.0</v>
      </c>
      <c r="L45" s="48">
        <f>1364913.56</f>
        <v>1364913.56</v>
      </c>
      <c r="M45" s="35">
        <v>0.0</v>
      </c>
      <c r="N45" s="36">
        <f t="shared" si="8"/>
        <v>1364913.56</v>
      </c>
      <c r="O45" s="37"/>
      <c r="P45" s="37"/>
      <c r="Q45" s="37"/>
      <c r="R45" s="36">
        <f t="shared" si="9"/>
        <v>1364913.56</v>
      </c>
      <c r="S45" s="48">
        <f>121100+86668+14889+963435.56</f>
        <v>1186092.56</v>
      </c>
      <c r="T45" s="38">
        <f t="shared" si="10"/>
        <v>0.8689873079</v>
      </c>
      <c r="U45" s="64">
        <f>121100+86668+488588.56</f>
        <v>696356.56</v>
      </c>
      <c r="V45" s="38">
        <f t="shared" si="11"/>
        <v>0.5101836339</v>
      </c>
      <c r="W45" s="48">
        <f>121100+86668+488588.56</f>
        <v>696356.56</v>
      </c>
      <c r="X45" s="38">
        <f t="shared" si="12"/>
        <v>0.5101836339</v>
      </c>
      <c r="Y45" s="4"/>
      <c r="Z45" s="4"/>
      <c r="AA45" s="4"/>
    </row>
    <row r="46">
      <c r="A46" s="31" t="s">
        <v>88</v>
      </c>
      <c r="B46" s="32" t="s">
        <v>89</v>
      </c>
      <c r="C46" s="32" t="s">
        <v>50</v>
      </c>
      <c r="D46" s="32" t="s">
        <v>57</v>
      </c>
      <c r="E46" s="32" t="s">
        <v>52</v>
      </c>
      <c r="F46" s="32" t="s">
        <v>105</v>
      </c>
      <c r="G46" s="32" t="s">
        <v>54</v>
      </c>
      <c r="H46" s="32" t="s">
        <v>92</v>
      </c>
      <c r="I46" s="32" t="s">
        <v>93</v>
      </c>
      <c r="J46" s="33">
        <v>3.0</v>
      </c>
      <c r="K46" s="44">
        <v>100000.0</v>
      </c>
      <c r="L46" s="34">
        <v>0.0</v>
      </c>
      <c r="M46" s="34">
        <v>0.0</v>
      </c>
      <c r="N46" s="45">
        <f t="shared" si="8"/>
        <v>100000</v>
      </c>
      <c r="O46" s="65"/>
      <c r="P46" s="65"/>
      <c r="Q46" s="65"/>
      <c r="R46" s="45">
        <f t="shared" si="9"/>
        <v>100000</v>
      </c>
      <c r="S46" s="34">
        <v>0.0</v>
      </c>
      <c r="T46" s="46">
        <f t="shared" si="10"/>
        <v>0</v>
      </c>
      <c r="U46" s="39">
        <v>0.0</v>
      </c>
      <c r="V46" s="46">
        <f t="shared" si="11"/>
        <v>0</v>
      </c>
      <c r="W46" s="34">
        <v>0.0</v>
      </c>
      <c r="X46" s="46">
        <f t="shared" si="12"/>
        <v>0</v>
      </c>
      <c r="Y46" s="4"/>
      <c r="Z46" s="4"/>
      <c r="AA46" s="4"/>
    </row>
    <row r="47">
      <c r="A47" s="31" t="s">
        <v>88</v>
      </c>
      <c r="B47" s="32" t="s">
        <v>89</v>
      </c>
      <c r="C47" s="32" t="s">
        <v>50</v>
      </c>
      <c r="D47" s="32" t="s">
        <v>57</v>
      </c>
      <c r="E47" s="32" t="s">
        <v>52</v>
      </c>
      <c r="F47" s="32" t="s">
        <v>105</v>
      </c>
      <c r="G47" s="32" t="s">
        <v>54</v>
      </c>
      <c r="H47" s="32" t="s">
        <v>95</v>
      </c>
      <c r="I47" s="32" t="s">
        <v>93</v>
      </c>
      <c r="J47" s="33">
        <v>3.0</v>
      </c>
      <c r="K47" s="44">
        <v>0.0</v>
      </c>
      <c r="L47" s="34">
        <v>3.674733E7</v>
      </c>
      <c r="M47" s="34">
        <v>0.0</v>
      </c>
      <c r="N47" s="45">
        <f t="shared" si="8"/>
        <v>36747330</v>
      </c>
      <c r="O47" s="65"/>
      <c r="P47" s="65"/>
      <c r="Q47" s="65"/>
      <c r="R47" s="45">
        <f t="shared" si="9"/>
        <v>36747330</v>
      </c>
      <c r="S47" s="34">
        <v>2.92914239E7</v>
      </c>
      <c r="T47" s="46">
        <f t="shared" si="10"/>
        <v>0.7971034603</v>
      </c>
      <c r="U47" s="39">
        <v>8865315.08</v>
      </c>
      <c r="V47" s="46">
        <f t="shared" si="11"/>
        <v>0.241250591</v>
      </c>
      <c r="W47" s="34">
        <v>8865315.08</v>
      </c>
      <c r="X47" s="46">
        <f t="shared" si="12"/>
        <v>0.241250591</v>
      </c>
      <c r="Y47" s="4"/>
      <c r="Z47" s="4"/>
      <c r="AA47" s="4"/>
    </row>
    <row r="48">
      <c r="A48" s="31" t="s">
        <v>88</v>
      </c>
      <c r="B48" s="32" t="s">
        <v>89</v>
      </c>
      <c r="C48" s="32" t="s">
        <v>50</v>
      </c>
      <c r="D48" s="32" t="s">
        <v>106</v>
      </c>
      <c r="E48" s="32" t="s">
        <v>52</v>
      </c>
      <c r="F48" s="32" t="s">
        <v>107</v>
      </c>
      <c r="G48" s="32" t="s">
        <v>54</v>
      </c>
      <c r="H48" s="32" t="s">
        <v>92</v>
      </c>
      <c r="I48" s="32" t="s">
        <v>93</v>
      </c>
      <c r="J48" s="33">
        <v>3.0</v>
      </c>
      <c r="K48" s="44">
        <v>960000.0</v>
      </c>
      <c r="L48" s="34">
        <v>47927.14</v>
      </c>
      <c r="M48" s="34">
        <v>47927.14</v>
      </c>
      <c r="N48" s="45">
        <f t="shared" si="8"/>
        <v>960000</v>
      </c>
      <c r="O48" s="65"/>
      <c r="P48" s="65"/>
      <c r="Q48" s="65"/>
      <c r="R48" s="45">
        <f t="shared" si="9"/>
        <v>960000</v>
      </c>
      <c r="S48" s="34">
        <v>768856.9</v>
      </c>
      <c r="T48" s="46">
        <f t="shared" si="10"/>
        <v>0.8008926042</v>
      </c>
      <c r="U48" s="39">
        <v>768856.9</v>
      </c>
      <c r="V48" s="46">
        <f t="shared" si="11"/>
        <v>0.8008926042</v>
      </c>
      <c r="W48" s="34">
        <v>768616.9</v>
      </c>
      <c r="X48" s="46">
        <f t="shared" si="12"/>
        <v>0.8006426042</v>
      </c>
      <c r="Y48" s="4"/>
      <c r="Z48" s="4"/>
      <c r="AA48" s="4"/>
    </row>
    <row r="49">
      <c r="A49" s="31" t="s">
        <v>88</v>
      </c>
      <c r="B49" s="32" t="s">
        <v>89</v>
      </c>
      <c r="C49" s="32" t="s">
        <v>50</v>
      </c>
      <c r="D49" s="32" t="s">
        <v>64</v>
      </c>
      <c r="E49" s="32" t="s">
        <v>67</v>
      </c>
      <c r="F49" s="32" t="s">
        <v>65</v>
      </c>
      <c r="G49" s="32" t="s">
        <v>54</v>
      </c>
      <c r="H49" s="32" t="s">
        <v>92</v>
      </c>
      <c r="I49" s="32" t="s">
        <v>93</v>
      </c>
      <c r="J49" s="33">
        <v>3.0</v>
      </c>
      <c r="K49" s="44">
        <v>50000.0</v>
      </c>
      <c r="L49" s="34">
        <v>0.0</v>
      </c>
      <c r="M49" s="34">
        <v>0.0</v>
      </c>
      <c r="N49" s="45">
        <f t="shared" si="8"/>
        <v>50000</v>
      </c>
      <c r="O49" s="65"/>
      <c r="P49" s="65"/>
      <c r="Q49" s="65"/>
      <c r="R49" s="45">
        <f t="shared" si="9"/>
        <v>50000</v>
      </c>
      <c r="S49" s="44">
        <v>0.0</v>
      </c>
      <c r="T49" s="46">
        <f t="shared" si="10"/>
        <v>0</v>
      </c>
      <c r="U49" s="39">
        <v>0.0</v>
      </c>
      <c r="V49" s="46">
        <f t="shared" si="11"/>
        <v>0</v>
      </c>
      <c r="W49" s="34">
        <v>0.0</v>
      </c>
      <c r="X49" s="46">
        <f t="shared" si="12"/>
        <v>0</v>
      </c>
      <c r="Y49" s="4"/>
      <c r="Z49" s="4"/>
      <c r="AA49" s="4"/>
    </row>
    <row r="50">
      <c r="A50" s="31" t="s">
        <v>88</v>
      </c>
      <c r="B50" s="32" t="s">
        <v>89</v>
      </c>
      <c r="C50" s="32" t="s">
        <v>50</v>
      </c>
      <c r="D50" s="32" t="s">
        <v>64</v>
      </c>
      <c r="E50" s="32" t="s">
        <v>67</v>
      </c>
      <c r="F50" s="32" t="s">
        <v>65</v>
      </c>
      <c r="G50" s="32" t="s">
        <v>54</v>
      </c>
      <c r="H50" s="32" t="s">
        <v>95</v>
      </c>
      <c r="I50" s="32" t="s">
        <v>93</v>
      </c>
      <c r="J50" s="33">
        <v>3.0</v>
      </c>
      <c r="K50" s="44">
        <v>0.0</v>
      </c>
      <c r="L50" s="34">
        <v>8035079.0</v>
      </c>
      <c r="M50" s="34">
        <v>0.0</v>
      </c>
      <c r="N50" s="45">
        <f t="shared" si="8"/>
        <v>8035079</v>
      </c>
      <c r="O50" s="65"/>
      <c r="P50" s="65"/>
      <c r="Q50" s="65"/>
      <c r="R50" s="45">
        <f t="shared" si="9"/>
        <v>8035079</v>
      </c>
      <c r="S50" s="44">
        <v>7688791.7</v>
      </c>
      <c r="T50" s="46">
        <f t="shared" si="10"/>
        <v>0.9569030622</v>
      </c>
      <c r="U50" s="39">
        <v>2586782.29</v>
      </c>
      <c r="V50" s="46">
        <f t="shared" si="11"/>
        <v>0.3219361365</v>
      </c>
      <c r="W50" s="34">
        <v>2586782.29</v>
      </c>
      <c r="X50" s="46">
        <f t="shared" si="12"/>
        <v>0.3219361365</v>
      </c>
      <c r="Y50" s="4"/>
      <c r="Z50" s="4"/>
      <c r="AA50" s="4"/>
    </row>
    <row r="51">
      <c r="A51" s="31" t="s">
        <v>88</v>
      </c>
      <c r="B51" s="32" t="s">
        <v>89</v>
      </c>
      <c r="C51" s="32" t="s">
        <v>50</v>
      </c>
      <c r="D51" s="32" t="s">
        <v>108</v>
      </c>
      <c r="E51" s="32" t="s">
        <v>67</v>
      </c>
      <c r="F51" s="32" t="s">
        <v>109</v>
      </c>
      <c r="G51" s="32" t="s">
        <v>54</v>
      </c>
      <c r="H51" s="32" t="s">
        <v>92</v>
      </c>
      <c r="I51" s="32" t="s">
        <v>93</v>
      </c>
      <c r="J51" s="33">
        <v>3.0</v>
      </c>
      <c r="K51" s="44">
        <v>200000.0</v>
      </c>
      <c r="L51" s="34">
        <v>0.0</v>
      </c>
      <c r="M51" s="34">
        <v>0.0</v>
      </c>
      <c r="N51" s="45">
        <f t="shared" si="8"/>
        <v>200000</v>
      </c>
      <c r="O51" s="65"/>
      <c r="P51" s="65"/>
      <c r="Q51" s="65"/>
      <c r="R51" s="45">
        <f t="shared" si="9"/>
        <v>200000</v>
      </c>
      <c r="S51" s="44">
        <v>0.0</v>
      </c>
      <c r="T51" s="46">
        <f t="shared" si="10"/>
        <v>0</v>
      </c>
      <c r="U51" s="39">
        <v>0.0</v>
      </c>
      <c r="V51" s="46">
        <f t="shared" si="11"/>
        <v>0</v>
      </c>
      <c r="W51" s="34">
        <v>0.0</v>
      </c>
      <c r="X51" s="46">
        <f t="shared" si="12"/>
        <v>0</v>
      </c>
      <c r="Y51" s="4"/>
      <c r="Z51" s="4"/>
      <c r="AA51" s="4"/>
    </row>
    <row r="52">
      <c r="A52" s="31" t="s">
        <v>88</v>
      </c>
      <c r="B52" s="32" t="s">
        <v>89</v>
      </c>
      <c r="C52" s="32" t="s">
        <v>50</v>
      </c>
      <c r="D52" s="32" t="s">
        <v>110</v>
      </c>
      <c r="E52" s="32" t="s">
        <v>67</v>
      </c>
      <c r="F52" s="32" t="s">
        <v>109</v>
      </c>
      <c r="G52" s="32" t="s">
        <v>54</v>
      </c>
      <c r="H52" s="32" t="s">
        <v>95</v>
      </c>
      <c r="I52" s="32" t="s">
        <v>93</v>
      </c>
      <c r="J52" s="61">
        <v>4.0</v>
      </c>
      <c r="K52" s="44">
        <v>0.0</v>
      </c>
      <c r="L52" s="34">
        <v>2843907.01</v>
      </c>
      <c r="M52" s="34">
        <v>0.0</v>
      </c>
      <c r="N52" s="45">
        <f t="shared" si="8"/>
        <v>2843907.01</v>
      </c>
      <c r="O52" s="65"/>
      <c r="P52" s="65"/>
      <c r="Q52" s="65"/>
      <c r="R52" s="45">
        <f t="shared" si="9"/>
        <v>2843907.01</v>
      </c>
      <c r="S52" s="44">
        <v>0.0</v>
      </c>
      <c r="T52" s="46">
        <f t="shared" si="10"/>
        <v>0</v>
      </c>
      <c r="U52" s="62">
        <v>0.0</v>
      </c>
      <c r="V52" s="46">
        <f t="shared" si="11"/>
        <v>0</v>
      </c>
      <c r="W52" s="34">
        <v>0.0</v>
      </c>
      <c r="X52" s="46">
        <f t="shared" si="12"/>
        <v>0</v>
      </c>
      <c r="Y52" s="4"/>
      <c r="Z52" s="4"/>
      <c r="AA52" s="4"/>
    </row>
    <row r="53">
      <c r="A53" s="31" t="s">
        <v>88</v>
      </c>
      <c r="B53" s="32" t="s">
        <v>89</v>
      </c>
      <c r="C53" s="32" t="s">
        <v>50</v>
      </c>
      <c r="D53" s="32" t="s">
        <v>111</v>
      </c>
      <c r="E53" s="32" t="s">
        <v>67</v>
      </c>
      <c r="F53" s="32" t="s">
        <v>112</v>
      </c>
      <c r="G53" s="32" t="s">
        <v>54</v>
      </c>
      <c r="H53" s="32" t="s">
        <v>92</v>
      </c>
      <c r="I53" s="32" t="s">
        <v>93</v>
      </c>
      <c r="J53" s="61">
        <v>4.0</v>
      </c>
      <c r="K53" s="44">
        <v>417750.0</v>
      </c>
      <c r="L53" s="34">
        <v>0.0</v>
      </c>
      <c r="M53" s="34">
        <v>0.0</v>
      </c>
      <c r="N53" s="45">
        <f t="shared" si="8"/>
        <v>417750</v>
      </c>
      <c r="O53" s="65"/>
      <c r="P53" s="65"/>
      <c r="Q53" s="65"/>
      <c r="R53" s="45">
        <f t="shared" si="9"/>
        <v>417750</v>
      </c>
      <c r="S53" s="44">
        <v>0.0</v>
      </c>
      <c r="T53" s="46">
        <f t="shared" si="10"/>
        <v>0</v>
      </c>
      <c r="U53" s="62">
        <v>0.0</v>
      </c>
      <c r="V53" s="46">
        <f t="shared" si="11"/>
        <v>0</v>
      </c>
      <c r="W53" s="34">
        <v>0.0</v>
      </c>
      <c r="X53" s="46">
        <f t="shared" si="12"/>
        <v>0</v>
      </c>
      <c r="Y53" s="4"/>
      <c r="Z53" s="4"/>
      <c r="AA53" s="4"/>
    </row>
    <row r="54">
      <c r="A54" s="31" t="s">
        <v>88</v>
      </c>
      <c r="B54" s="32" t="s">
        <v>89</v>
      </c>
      <c r="C54" s="32" t="s">
        <v>50</v>
      </c>
      <c r="D54" s="32" t="s">
        <v>66</v>
      </c>
      <c r="E54" s="32" t="s">
        <v>67</v>
      </c>
      <c r="F54" s="32" t="s">
        <v>113</v>
      </c>
      <c r="G54" s="32" t="s">
        <v>54</v>
      </c>
      <c r="H54" s="32" t="s">
        <v>92</v>
      </c>
      <c r="I54" s="32" t="s">
        <v>93</v>
      </c>
      <c r="J54" s="33">
        <v>3.0</v>
      </c>
      <c r="K54" s="44">
        <v>50000.0</v>
      </c>
      <c r="L54" s="34">
        <v>0.0</v>
      </c>
      <c r="M54" s="34">
        <v>4600.0</v>
      </c>
      <c r="N54" s="45">
        <f t="shared" si="8"/>
        <v>45400</v>
      </c>
      <c r="O54" s="65"/>
      <c r="P54" s="65"/>
      <c r="Q54" s="65"/>
      <c r="R54" s="45">
        <f t="shared" si="9"/>
        <v>45400</v>
      </c>
      <c r="S54" s="44">
        <v>0.0</v>
      </c>
      <c r="T54" s="46">
        <f t="shared" si="10"/>
        <v>0</v>
      </c>
      <c r="U54" s="39">
        <v>0.0</v>
      </c>
      <c r="V54" s="46">
        <f t="shared" si="11"/>
        <v>0</v>
      </c>
      <c r="W54" s="34">
        <v>0.0</v>
      </c>
      <c r="X54" s="46">
        <f t="shared" si="12"/>
        <v>0</v>
      </c>
      <c r="Y54" s="4"/>
      <c r="Z54" s="4"/>
      <c r="AA54" s="4"/>
    </row>
    <row r="55">
      <c r="A55" s="31" t="s">
        <v>88</v>
      </c>
      <c r="B55" s="32" t="s">
        <v>89</v>
      </c>
      <c r="C55" s="32" t="s">
        <v>50</v>
      </c>
      <c r="D55" s="32" t="s">
        <v>66</v>
      </c>
      <c r="E55" s="32" t="s">
        <v>67</v>
      </c>
      <c r="F55" s="32" t="s">
        <v>113</v>
      </c>
      <c r="G55" s="32" t="s">
        <v>114</v>
      </c>
      <c r="H55" s="32" t="s">
        <v>95</v>
      </c>
      <c r="I55" s="32" t="s">
        <v>93</v>
      </c>
      <c r="J55" s="33">
        <v>3.0</v>
      </c>
      <c r="K55" s="44">
        <v>0.0</v>
      </c>
      <c r="L55" s="34">
        <v>7944047.0</v>
      </c>
      <c r="M55" s="34">
        <v>0.0</v>
      </c>
      <c r="N55" s="45">
        <f t="shared" si="8"/>
        <v>7944047</v>
      </c>
      <c r="O55" s="65"/>
      <c r="P55" s="65"/>
      <c r="Q55" s="65"/>
      <c r="R55" s="45">
        <f t="shared" si="9"/>
        <v>7944047</v>
      </c>
      <c r="S55" s="44">
        <v>7515806.09</v>
      </c>
      <c r="T55" s="46">
        <f t="shared" si="10"/>
        <v>0.9460928529</v>
      </c>
      <c r="U55" s="39">
        <v>2506752.42</v>
      </c>
      <c r="V55" s="46">
        <f t="shared" si="11"/>
        <v>0.315551056</v>
      </c>
      <c r="W55" s="34">
        <v>2506752.42</v>
      </c>
      <c r="X55" s="46">
        <f t="shared" si="12"/>
        <v>0.315551056</v>
      </c>
      <c r="Y55" s="4"/>
      <c r="Z55" s="4"/>
      <c r="AA55" s="4"/>
    </row>
    <row r="56">
      <c r="A56" s="31" t="s">
        <v>88</v>
      </c>
      <c r="B56" s="32" t="s">
        <v>89</v>
      </c>
      <c r="C56" s="32" t="s">
        <v>50</v>
      </c>
      <c r="D56" s="32" t="s">
        <v>69</v>
      </c>
      <c r="E56" s="32" t="s">
        <v>67</v>
      </c>
      <c r="F56" s="32" t="s">
        <v>70</v>
      </c>
      <c r="G56" s="32" t="s">
        <v>54</v>
      </c>
      <c r="H56" s="32" t="s">
        <v>92</v>
      </c>
      <c r="I56" s="32" t="s">
        <v>93</v>
      </c>
      <c r="J56" s="33">
        <v>3.0</v>
      </c>
      <c r="K56" s="63">
        <f>10279396-K57</f>
        <v>10039196</v>
      </c>
      <c r="L56" s="35">
        <v>603346.48</v>
      </c>
      <c r="M56" s="35">
        <v>603346.48</v>
      </c>
      <c r="N56" s="36">
        <f t="shared" si="8"/>
        <v>10039196</v>
      </c>
      <c r="O56" s="37"/>
      <c r="P56" s="37"/>
      <c r="Q56" s="37"/>
      <c r="R56" s="36">
        <f t="shared" si="9"/>
        <v>10039196</v>
      </c>
      <c r="S56" s="48">
        <f>9045541.43-S57</f>
        <v>8890041.45</v>
      </c>
      <c r="T56" s="38">
        <f t="shared" si="10"/>
        <v>0.885533209</v>
      </c>
      <c r="U56" s="50">
        <f>5324149.57-U57</f>
        <v>5263119.59</v>
      </c>
      <c r="V56" s="38">
        <f t="shared" si="11"/>
        <v>0.5242570809</v>
      </c>
      <c r="W56" s="48">
        <f>5252008.21-W57</f>
        <v>5190978.23</v>
      </c>
      <c r="X56" s="38">
        <f t="shared" si="12"/>
        <v>0.5170711111</v>
      </c>
      <c r="Y56" s="4"/>
      <c r="Z56" s="4"/>
      <c r="AA56" s="4"/>
    </row>
    <row r="57">
      <c r="A57" s="31" t="s">
        <v>88</v>
      </c>
      <c r="B57" s="32" t="s">
        <v>89</v>
      </c>
      <c r="C57" s="32" t="s">
        <v>50</v>
      </c>
      <c r="D57" s="32" t="s">
        <v>69</v>
      </c>
      <c r="E57" s="32" t="s">
        <v>67</v>
      </c>
      <c r="F57" s="32" t="s">
        <v>70</v>
      </c>
      <c r="G57" s="32" t="s">
        <v>54</v>
      </c>
      <c r="H57" s="32" t="s">
        <v>92</v>
      </c>
      <c r="I57" s="32" t="s">
        <v>93</v>
      </c>
      <c r="J57" s="61">
        <v>4.0</v>
      </c>
      <c r="K57" s="63">
        <f>240200</f>
        <v>240200</v>
      </c>
      <c r="L57" s="35">
        <v>0.0</v>
      </c>
      <c r="M57" s="35">
        <v>0.0</v>
      </c>
      <c r="N57" s="36">
        <f t="shared" si="8"/>
        <v>240200</v>
      </c>
      <c r="O57" s="37"/>
      <c r="P57" s="37"/>
      <c r="Q57" s="37"/>
      <c r="R57" s="36">
        <f t="shared" si="9"/>
        <v>240200</v>
      </c>
      <c r="S57" s="48">
        <f>1240+94470+59789.98</f>
        <v>155499.98</v>
      </c>
      <c r="T57" s="38">
        <f t="shared" si="10"/>
        <v>0.6473771024</v>
      </c>
      <c r="U57" s="64">
        <f>1240+59789.98</f>
        <v>61029.98</v>
      </c>
      <c r="V57" s="38">
        <f t="shared" si="11"/>
        <v>0.2540798501</v>
      </c>
      <c r="W57" s="48">
        <f>1240+59789.98</f>
        <v>61029.98</v>
      </c>
      <c r="X57" s="38">
        <f t="shared" si="12"/>
        <v>0.2540798501</v>
      </c>
      <c r="Y57" s="4"/>
      <c r="Z57" s="4"/>
      <c r="AA57" s="4"/>
    </row>
    <row r="58" ht="34.5" customHeight="1">
      <c r="A58" s="31" t="s">
        <v>88</v>
      </c>
      <c r="B58" s="32" t="s">
        <v>89</v>
      </c>
      <c r="C58" s="32" t="s">
        <v>50</v>
      </c>
      <c r="D58" s="32" t="s">
        <v>69</v>
      </c>
      <c r="E58" s="32" t="s">
        <v>67</v>
      </c>
      <c r="F58" s="32" t="s">
        <v>70</v>
      </c>
      <c r="G58" s="32" t="s">
        <v>54</v>
      </c>
      <c r="H58" s="32" t="s">
        <v>95</v>
      </c>
      <c r="I58" s="32" t="s">
        <v>93</v>
      </c>
      <c r="J58" s="33">
        <v>3.0</v>
      </c>
      <c r="K58" s="44">
        <v>0.0</v>
      </c>
      <c r="L58" s="35">
        <v>4426690.17</v>
      </c>
      <c r="M58" s="35">
        <v>2623.23</v>
      </c>
      <c r="N58" s="36">
        <f t="shared" si="8"/>
        <v>4424066.94</v>
      </c>
      <c r="O58" s="37"/>
      <c r="P58" s="37"/>
      <c r="Q58" s="37"/>
      <c r="R58" s="36">
        <f t="shared" si="9"/>
        <v>4424066.94</v>
      </c>
      <c r="S58" s="48">
        <f>2543342.8</f>
        <v>2543342.8</v>
      </c>
      <c r="T58" s="38">
        <f t="shared" si="10"/>
        <v>0.5748879559</v>
      </c>
      <c r="U58" s="39">
        <v>1955184.92</v>
      </c>
      <c r="V58" s="38">
        <f t="shared" si="11"/>
        <v>0.441942888</v>
      </c>
      <c r="W58" s="35">
        <v>1955184.92</v>
      </c>
      <c r="X58" s="38">
        <f t="shared" si="12"/>
        <v>0.441942888</v>
      </c>
      <c r="Y58" s="4"/>
      <c r="Z58" s="4"/>
      <c r="AA58" s="4"/>
    </row>
    <row r="59">
      <c r="A59" s="31" t="s">
        <v>88</v>
      </c>
      <c r="B59" s="32" t="s">
        <v>89</v>
      </c>
      <c r="C59" s="32" t="s">
        <v>115</v>
      </c>
      <c r="D59" s="32" t="s">
        <v>116</v>
      </c>
      <c r="E59" s="32" t="s">
        <v>52</v>
      </c>
      <c r="F59" s="32" t="s">
        <v>117</v>
      </c>
      <c r="G59" s="32" t="s">
        <v>54</v>
      </c>
      <c r="H59" s="32" t="s">
        <v>92</v>
      </c>
      <c r="I59" s="32" t="s">
        <v>93</v>
      </c>
      <c r="J59" s="33">
        <v>3.0</v>
      </c>
      <c r="K59" s="63">
        <f>73913500-K60</f>
        <v>50900000</v>
      </c>
      <c r="L59" s="34">
        <v>1232909.41</v>
      </c>
      <c r="M59" s="34">
        <v>3475629.16</v>
      </c>
      <c r="N59" s="45">
        <f t="shared" si="8"/>
        <v>48657280.25</v>
      </c>
      <c r="O59" s="65"/>
      <c r="P59" s="65"/>
      <c r="Q59" s="65"/>
      <c r="R59" s="45">
        <f t="shared" si="9"/>
        <v>48657280.25</v>
      </c>
      <c r="S59" s="47">
        <f>43402683.18-S60</f>
        <v>33517765.87</v>
      </c>
      <c r="T59" s="46">
        <f t="shared" si="10"/>
        <v>0.6888540769</v>
      </c>
      <c r="U59" s="50">
        <f>14245993.3-U60</f>
        <v>12387890.82</v>
      </c>
      <c r="V59" s="46">
        <f t="shared" si="11"/>
        <v>0.2545948059</v>
      </c>
      <c r="W59" s="47">
        <f>14242464.65-W60</f>
        <v>12384362.17</v>
      </c>
      <c r="X59" s="46">
        <f t="shared" si="12"/>
        <v>0.2545222854</v>
      </c>
      <c r="Y59" s="4"/>
      <c r="Z59" s="4"/>
      <c r="AA59" s="4"/>
    </row>
    <row r="60">
      <c r="A60" s="31" t="s">
        <v>88</v>
      </c>
      <c r="B60" s="51" t="s">
        <v>89</v>
      </c>
      <c r="C60" s="51" t="s">
        <v>115</v>
      </c>
      <c r="D60" s="51" t="s">
        <v>116</v>
      </c>
      <c r="E60" s="32" t="s">
        <v>52</v>
      </c>
      <c r="F60" s="32" t="s">
        <v>117</v>
      </c>
      <c r="G60" s="51" t="s">
        <v>54</v>
      </c>
      <c r="H60" s="51" t="s">
        <v>92</v>
      </c>
      <c r="I60" s="32" t="s">
        <v>93</v>
      </c>
      <c r="J60" s="61">
        <v>4.0</v>
      </c>
      <c r="K60" s="63">
        <f>5671500+17342000</f>
        <v>23013500</v>
      </c>
      <c r="L60" s="35">
        <v>0.0</v>
      </c>
      <c r="M60" s="34">
        <v>0.0</v>
      </c>
      <c r="N60" s="36">
        <f t="shared" si="8"/>
        <v>23013500</v>
      </c>
      <c r="O60" s="37"/>
      <c r="P60" s="37"/>
      <c r="Q60" s="37"/>
      <c r="R60" s="36">
        <f t="shared" si="9"/>
        <v>23013500</v>
      </c>
      <c r="S60" s="47">
        <f>99980+2517250+2667250.02+34433.29+4454122+111882</f>
        <v>9884917.31</v>
      </c>
      <c r="T60" s="38">
        <f t="shared" si="10"/>
        <v>0.4295268999</v>
      </c>
      <c r="U60" s="64">
        <f>99980+130114.15+745715.04+34433.29+847860</f>
        <v>1858102.48</v>
      </c>
      <c r="V60" s="38">
        <f t="shared" si="11"/>
        <v>0.08073967367</v>
      </c>
      <c r="W60" s="48">
        <f>99980+130114.15+745715.04+34433.29+847860</f>
        <v>1858102.48</v>
      </c>
      <c r="X60" s="38">
        <f t="shared" si="12"/>
        <v>0.08073967367</v>
      </c>
      <c r="Y60" s="4"/>
      <c r="Z60" s="4"/>
      <c r="AA60" s="4"/>
    </row>
    <row r="61">
      <c r="A61" s="31" t="s">
        <v>88</v>
      </c>
      <c r="B61" s="51" t="s">
        <v>89</v>
      </c>
      <c r="C61" s="51" t="s">
        <v>115</v>
      </c>
      <c r="D61" s="51" t="s">
        <v>116</v>
      </c>
      <c r="E61" s="32" t="s">
        <v>52</v>
      </c>
      <c r="F61" s="32" t="s">
        <v>118</v>
      </c>
      <c r="G61" s="51" t="s">
        <v>54</v>
      </c>
      <c r="H61" s="51" t="s">
        <v>95</v>
      </c>
      <c r="I61" s="32" t="s">
        <v>93</v>
      </c>
      <c r="J61" s="33">
        <v>3.0</v>
      </c>
      <c r="K61" s="44">
        <v>0.0</v>
      </c>
      <c r="L61" s="48">
        <f>37499066.63-L62</f>
        <v>19816084.41</v>
      </c>
      <c r="M61" s="34">
        <v>0.0</v>
      </c>
      <c r="N61" s="36">
        <f t="shared" si="8"/>
        <v>19816084.41</v>
      </c>
      <c r="O61" s="37"/>
      <c r="P61" s="37"/>
      <c r="Q61" s="37"/>
      <c r="R61" s="36">
        <f t="shared" si="9"/>
        <v>19816084.41</v>
      </c>
      <c r="S61" s="47">
        <f>37038180.95-S62</f>
        <v>19816084.41</v>
      </c>
      <c r="T61" s="38">
        <f t="shared" si="10"/>
        <v>1</v>
      </c>
      <c r="U61" s="39">
        <v>1.634594041E7</v>
      </c>
      <c r="V61" s="38">
        <f t="shared" si="11"/>
        <v>0.8248824577</v>
      </c>
      <c r="W61" s="35">
        <v>1.634594041E7</v>
      </c>
      <c r="X61" s="38">
        <f t="shared" si="12"/>
        <v>0.8248824577</v>
      </c>
      <c r="Y61" s="4"/>
      <c r="Z61" s="4"/>
      <c r="AA61" s="4"/>
    </row>
    <row r="62">
      <c r="A62" s="31" t="s">
        <v>88</v>
      </c>
      <c r="B62" s="51" t="s">
        <v>89</v>
      </c>
      <c r="C62" s="51" t="s">
        <v>115</v>
      </c>
      <c r="D62" s="51" t="s">
        <v>116</v>
      </c>
      <c r="E62" s="32" t="s">
        <v>52</v>
      </c>
      <c r="F62" s="32" t="s">
        <v>118</v>
      </c>
      <c r="G62" s="51" t="s">
        <v>54</v>
      </c>
      <c r="H62" s="51" t="s">
        <v>95</v>
      </c>
      <c r="I62" s="32" t="s">
        <v>93</v>
      </c>
      <c r="J62" s="61">
        <v>4.0</v>
      </c>
      <c r="K62" s="44">
        <v>0.0</v>
      </c>
      <c r="L62" s="48">
        <f>12385535.22+5297447</f>
        <v>17682982.22</v>
      </c>
      <c r="M62" s="34">
        <v>0.0</v>
      </c>
      <c r="N62" s="36">
        <f t="shared" si="8"/>
        <v>17682982.22</v>
      </c>
      <c r="O62" s="37"/>
      <c r="P62" s="37"/>
      <c r="Q62" s="37"/>
      <c r="R62" s="36">
        <f t="shared" si="9"/>
        <v>17682982.22</v>
      </c>
      <c r="S62" s="47">
        <f>11924649.54+5297447</f>
        <v>17222096.54</v>
      </c>
      <c r="T62" s="38">
        <f t="shared" si="10"/>
        <v>0.9739362018</v>
      </c>
      <c r="U62" s="62">
        <v>0.0</v>
      </c>
      <c r="V62" s="38">
        <f t="shared" si="11"/>
        <v>0</v>
      </c>
      <c r="W62" s="35">
        <v>0.0</v>
      </c>
      <c r="X62" s="38">
        <f t="shared" si="12"/>
        <v>0</v>
      </c>
      <c r="Y62" s="4"/>
      <c r="Z62" s="4"/>
      <c r="AA62" s="4"/>
    </row>
    <row r="63">
      <c r="A63" s="31" t="s">
        <v>88</v>
      </c>
      <c r="B63" s="51" t="s">
        <v>89</v>
      </c>
      <c r="C63" s="51" t="s">
        <v>73</v>
      </c>
      <c r="D63" s="51" t="s">
        <v>74</v>
      </c>
      <c r="E63" s="32" t="s">
        <v>52</v>
      </c>
      <c r="F63" s="32" t="s">
        <v>119</v>
      </c>
      <c r="G63" s="51" t="s">
        <v>54</v>
      </c>
      <c r="H63" s="51" t="s">
        <v>92</v>
      </c>
      <c r="I63" s="32" t="s">
        <v>93</v>
      </c>
      <c r="J63" s="33">
        <v>3.0</v>
      </c>
      <c r="K63" s="44">
        <v>4460804.0</v>
      </c>
      <c r="L63" s="35">
        <v>5585.0</v>
      </c>
      <c r="M63" s="34">
        <v>5585.0</v>
      </c>
      <c r="N63" s="36">
        <f t="shared" si="8"/>
        <v>4460804</v>
      </c>
      <c r="O63" s="37"/>
      <c r="P63" s="37"/>
      <c r="Q63" s="37"/>
      <c r="R63" s="36">
        <f t="shared" si="9"/>
        <v>4460804</v>
      </c>
      <c r="S63" s="34">
        <v>842286.17</v>
      </c>
      <c r="T63" s="38">
        <f t="shared" si="10"/>
        <v>0.1888193631</v>
      </c>
      <c r="U63" s="39">
        <v>502440.45</v>
      </c>
      <c r="V63" s="38">
        <f t="shared" si="11"/>
        <v>0.1126345049</v>
      </c>
      <c r="W63" s="35">
        <v>497105.33</v>
      </c>
      <c r="X63" s="38">
        <f t="shared" si="12"/>
        <v>0.1114385053</v>
      </c>
      <c r="Y63" s="4"/>
      <c r="Z63" s="4"/>
      <c r="AA63" s="4"/>
    </row>
    <row r="64">
      <c r="A64" s="31" t="s">
        <v>88</v>
      </c>
      <c r="B64" s="51" t="s">
        <v>89</v>
      </c>
      <c r="C64" s="51" t="s">
        <v>73</v>
      </c>
      <c r="D64" s="51" t="s">
        <v>76</v>
      </c>
      <c r="E64" s="32" t="s">
        <v>52</v>
      </c>
      <c r="F64" s="32" t="s">
        <v>77</v>
      </c>
      <c r="G64" s="51" t="s">
        <v>54</v>
      </c>
      <c r="H64" s="51" t="s">
        <v>92</v>
      </c>
      <c r="I64" s="32" t="s">
        <v>93</v>
      </c>
      <c r="J64" s="33">
        <v>3.0</v>
      </c>
      <c r="K64" s="44">
        <v>3500000.0</v>
      </c>
      <c r="L64" s="35">
        <v>4600.0</v>
      </c>
      <c r="M64" s="34">
        <v>0.0</v>
      </c>
      <c r="N64" s="36">
        <f t="shared" si="8"/>
        <v>3504600</v>
      </c>
      <c r="O64" s="37"/>
      <c r="P64" s="37"/>
      <c r="Q64" s="37"/>
      <c r="R64" s="36">
        <f t="shared" si="9"/>
        <v>3504600</v>
      </c>
      <c r="S64" s="34">
        <v>3504600.0</v>
      </c>
      <c r="T64" s="38">
        <f t="shared" si="10"/>
        <v>1</v>
      </c>
      <c r="U64" s="39">
        <v>4600.0</v>
      </c>
      <c r="V64" s="38">
        <f t="shared" si="11"/>
        <v>0.001312560635</v>
      </c>
      <c r="W64" s="35">
        <v>4600.0</v>
      </c>
      <c r="X64" s="38">
        <f t="shared" si="12"/>
        <v>0.001312560635</v>
      </c>
      <c r="Y64" s="4"/>
      <c r="Z64" s="4"/>
      <c r="AA64" s="4"/>
    </row>
    <row r="65">
      <c r="A65" s="31" t="s">
        <v>88</v>
      </c>
      <c r="B65" s="51" t="s">
        <v>89</v>
      </c>
      <c r="C65" s="51" t="s">
        <v>73</v>
      </c>
      <c r="D65" s="51" t="s">
        <v>76</v>
      </c>
      <c r="E65" s="32" t="s">
        <v>67</v>
      </c>
      <c r="F65" s="51" t="s">
        <v>77</v>
      </c>
      <c r="G65" s="51" t="s">
        <v>54</v>
      </c>
      <c r="H65" s="51" t="s">
        <v>120</v>
      </c>
      <c r="I65" s="32" t="s">
        <v>121</v>
      </c>
      <c r="J65" s="33">
        <v>3.0</v>
      </c>
      <c r="K65" s="44">
        <v>950000.0</v>
      </c>
      <c r="L65" s="35">
        <v>179545.0</v>
      </c>
      <c r="M65" s="35">
        <v>179545.0</v>
      </c>
      <c r="N65" s="36">
        <f t="shared" si="8"/>
        <v>950000</v>
      </c>
      <c r="O65" s="37"/>
      <c r="P65" s="37"/>
      <c r="Q65" s="37"/>
      <c r="R65" s="36">
        <f t="shared" si="9"/>
        <v>950000</v>
      </c>
      <c r="S65" s="34">
        <v>765768.8</v>
      </c>
      <c r="T65" s="38">
        <f t="shared" si="10"/>
        <v>0.8060724211</v>
      </c>
      <c r="U65" s="39">
        <v>606470.0</v>
      </c>
      <c r="V65" s="38">
        <v>0.0</v>
      </c>
      <c r="W65" s="35">
        <v>592256.29</v>
      </c>
      <c r="X65" s="38">
        <f t="shared" si="12"/>
        <v>0.6234276737</v>
      </c>
      <c r="Y65" s="4"/>
      <c r="Z65" s="4"/>
      <c r="AA65" s="4"/>
    </row>
    <row r="66">
      <c r="A66" s="31" t="s">
        <v>88</v>
      </c>
      <c r="B66" s="51" t="s">
        <v>89</v>
      </c>
      <c r="C66" s="51" t="s">
        <v>73</v>
      </c>
      <c r="D66" s="51" t="s">
        <v>76</v>
      </c>
      <c r="E66" s="32" t="s">
        <v>67</v>
      </c>
      <c r="F66" s="51" t="s">
        <v>77</v>
      </c>
      <c r="G66" s="51" t="s">
        <v>54</v>
      </c>
      <c r="H66" s="51" t="s">
        <v>122</v>
      </c>
      <c r="I66" s="32" t="s">
        <v>121</v>
      </c>
      <c r="J66" s="33">
        <v>3.0</v>
      </c>
      <c r="K66" s="44">
        <v>0.0</v>
      </c>
      <c r="L66" s="35">
        <v>1837920.0</v>
      </c>
      <c r="M66" s="35">
        <v>0.0</v>
      </c>
      <c r="N66" s="36">
        <f t="shared" si="8"/>
        <v>1837920</v>
      </c>
      <c r="O66" s="37"/>
      <c r="P66" s="37"/>
      <c r="Q66" s="37"/>
      <c r="R66" s="36">
        <f t="shared" si="9"/>
        <v>1837920</v>
      </c>
      <c r="S66" s="34">
        <v>90040.0</v>
      </c>
      <c r="T66" s="38">
        <f t="shared" si="10"/>
        <v>0.04899016279</v>
      </c>
      <c r="U66" s="39">
        <v>41500.0</v>
      </c>
      <c r="V66" s="38">
        <v>0.0</v>
      </c>
      <c r="W66" s="35">
        <v>37770.76</v>
      </c>
      <c r="X66" s="38">
        <f t="shared" si="12"/>
        <v>0.02055081832</v>
      </c>
      <c r="Y66" s="4"/>
      <c r="Z66" s="4"/>
      <c r="AA66" s="4"/>
    </row>
    <row r="67" ht="15.75" customHeight="1">
      <c r="A67" s="66" t="s">
        <v>123</v>
      </c>
      <c r="B67" s="2"/>
      <c r="C67" s="2"/>
      <c r="D67" s="2"/>
      <c r="E67" s="2"/>
      <c r="F67" s="2"/>
      <c r="G67" s="2"/>
      <c r="H67" s="2"/>
      <c r="I67" s="2"/>
      <c r="J67" s="3"/>
      <c r="K67" s="53">
        <f t="shared" ref="K67:N67" si="13">SUM(K31:K66)</f>
        <v>317386000</v>
      </c>
      <c r="L67" s="53">
        <f t="shared" si="13"/>
        <v>154605910.6</v>
      </c>
      <c r="M67" s="53">
        <f t="shared" si="13"/>
        <v>16920045.42</v>
      </c>
      <c r="N67" s="53">
        <f t="shared" si="13"/>
        <v>455071865.2</v>
      </c>
      <c r="O67" s="53">
        <f t="shared" ref="O67:Q67" si="14">SUM(O31:O65)</f>
        <v>0</v>
      </c>
      <c r="P67" s="53">
        <f t="shared" si="14"/>
        <v>0</v>
      </c>
      <c r="Q67" s="53">
        <f t="shared" si="14"/>
        <v>0</v>
      </c>
      <c r="R67" s="53">
        <f t="shared" ref="R67:S67" si="15">SUM(R31:R66)</f>
        <v>455071865.2</v>
      </c>
      <c r="S67" s="53">
        <f t="shared" si="15"/>
        <v>362098652</v>
      </c>
      <c r="T67" s="54">
        <f t="shared" si="10"/>
        <v>0.7956955367</v>
      </c>
      <c r="U67" s="53">
        <f>SUM(U31:U66)</f>
        <v>134249972.8</v>
      </c>
      <c r="V67" s="54">
        <f t="shared" ref="V67:V68" si="17">IF(R67&gt;0,U67/R67,0)</f>
        <v>0.29500829</v>
      </c>
      <c r="W67" s="53">
        <f>SUM(W31:W66)</f>
        <v>133555043</v>
      </c>
      <c r="X67" s="54">
        <f t="shared" si="12"/>
        <v>0.293481213</v>
      </c>
      <c r="Y67" s="4"/>
      <c r="Z67" s="4"/>
      <c r="AA67" s="4"/>
    </row>
    <row r="68" ht="15.75" customHeight="1">
      <c r="A68" s="67" t="s">
        <v>124</v>
      </c>
      <c r="B68" s="2"/>
      <c r="C68" s="2"/>
      <c r="D68" s="2"/>
      <c r="E68" s="2"/>
      <c r="F68" s="2"/>
      <c r="G68" s="2"/>
      <c r="H68" s="2"/>
      <c r="I68" s="2"/>
      <c r="J68" s="3"/>
      <c r="K68" s="68">
        <f t="shared" ref="K68:S68" si="16">SUM(K28+K67)</f>
        <v>1589953000</v>
      </c>
      <c r="L68" s="68">
        <f t="shared" si="16"/>
        <v>225252853.4</v>
      </c>
      <c r="M68" s="68">
        <f t="shared" si="16"/>
        <v>57566988.25</v>
      </c>
      <c r="N68" s="69">
        <f t="shared" si="16"/>
        <v>1757638865</v>
      </c>
      <c r="O68" s="69">
        <f t="shared" si="16"/>
        <v>0</v>
      </c>
      <c r="P68" s="69">
        <f t="shared" si="16"/>
        <v>0</v>
      </c>
      <c r="Q68" s="69">
        <f t="shared" si="16"/>
        <v>-48661516.78</v>
      </c>
      <c r="R68" s="69">
        <f t="shared" si="16"/>
        <v>1708977348</v>
      </c>
      <c r="S68" s="69">
        <f t="shared" si="16"/>
        <v>902382365.4</v>
      </c>
      <c r="T68" s="70">
        <f t="shared" si="10"/>
        <v>0.5280247665</v>
      </c>
      <c r="U68" s="69">
        <f>SUM(U28+U67)</f>
        <v>630688436.4</v>
      </c>
      <c r="V68" s="70">
        <f t="shared" si="17"/>
        <v>0.369044351</v>
      </c>
      <c r="W68" s="69">
        <f>SUM(W28+W67)</f>
        <v>488910436.7</v>
      </c>
      <c r="X68" s="70">
        <f t="shared" si="12"/>
        <v>0.286083626</v>
      </c>
      <c r="Y68" s="41"/>
      <c r="Z68" s="4"/>
      <c r="AA68" s="4"/>
    </row>
    <row r="69" ht="15.75" customHeight="1">
      <c r="A69" s="71" t="s">
        <v>125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4"/>
      <c r="Z69" s="4"/>
      <c r="AA69" s="4"/>
    </row>
    <row r="70" ht="15.75" customHeight="1">
      <c r="A70" s="71" t="s">
        <v>126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4"/>
      <c r="Z70" s="73"/>
      <c r="AA70" s="4"/>
    </row>
    <row r="71" ht="15.75" customHeight="1">
      <c r="A71" s="74" t="s">
        <v>127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4"/>
      <c r="Z71" s="73"/>
      <c r="AA71" s="4"/>
    </row>
    <row r="72" ht="15.75" customHeight="1">
      <c r="A72" s="4"/>
      <c r="B72" s="4"/>
      <c r="C72" s="75"/>
      <c r="D72" s="76"/>
      <c r="E72" s="4"/>
      <c r="F72" s="75"/>
      <c r="G72" s="77"/>
      <c r="H72" s="4"/>
      <c r="I72" s="4"/>
      <c r="J72" s="4"/>
      <c r="K72" s="4"/>
      <c r="L72" s="4"/>
      <c r="M72" s="4"/>
      <c r="N72" s="4"/>
      <c r="O72" s="4"/>
      <c r="P72" s="4"/>
      <c r="Q72" s="4"/>
      <c r="R72" s="78"/>
      <c r="S72" s="4"/>
      <c r="T72" s="4"/>
      <c r="U72" s="79"/>
      <c r="V72" s="4"/>
      <c r="W72" s="78"/>
      <c r="X72" s="78"/>
      <c r="Y72" s="78"/>
      <c r="Z72" s="4"/>
      <c r="AA72" s="4"/>
    </row>
    <row r="73" ht="15.75" customHeight="1">
      <c r="A73" s="4"/>
      <c r="B73" s="4"/>
      <c r="C73" s="4"/>
      <c r="D73" s="7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79"/>
      <c r="N74" s="4"/>
      <c r="O74" s="4"/>
      <c r="P74" s="4"/>
      <c r="Q74" s="4"/>
      <c r="R74" s="80" t="s">
        <v>34</v>
      </c>
      <c r="S74" s="81"/>
      <c r="T74" s="82"/>
      <c r="U74" s="80" t="s">
        <v>35</v>
      </c>
      <c r="V74" s="82"/>
      <c r="W74" s="83"/>
      <c r="X74" s="84" t="s">
        <v>128</v>
      </c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85">
        <v>1.0</v>
      </c>
      <c r="S75" s="86">
        <v>3.7398598838E8</v>
      </c>
      <c r="T75" s="83"/>
      <c r="U75" s="87">
        <v>1.0</v>
      </c>
      <c r="V75" s="88">
        <f>U17+U18+U22+U23+U24+U25+U27</f>
        <v>449695202</v>
      </c>
      <c r="W75" s="83"/>
      <c r="X75" s="89">
        <f t="shared" ref="X75:X77" si="18">V75-S75</f>
        <v>75709213.64</v>
      </c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90">
        <v>3.0</v>
      </c>
      <c r="S76" s="91">
        <v>1.1812020105E8</v>
      </c>
      <c r="T76" s="82"/>
      <c r="U76" s="92">
        <v>3.0</v>
      </c>
      <c r="V76" s="93">
        <f>U14+U15+U16+U19+U20+U21+U26+U42+U44+U46+U47+U48+U49+U50+U51+U54+U55+U56+U58+U59+U61+U63+U64+U65+U66</f>
        <v>150826457.9</v>
      </c>
      <c r="W76" s="83"/>
      <c r="X76" s="89">
        <f t="shared" si="18"/>
        <v>32706256.87</v>
      </c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75"/>
      <c r="M77" s="77"/>
      <c r="N77" s="79"/>
      <c r="O77" s="4"/>
      <c r="P77" s="4"/>
      <c r="Q77" s="4"/>
      <c r="R77" s="94">
        <v>4.0</v>
      </c>
      <c r="S77" s="95">
        <v>1.953611929E7</v>
      </c>
      <c r="T77" s="82"/>
      <c r="U77" s="96">
        <v>4.0</v>
      </c>
      <c r="V77" s="97">
        <f>U31+U32+U33+U34+U35+U36+U37+U38+U39+U40+U41+U43+U45+U52+U53+U57+U60+U62</f>
        <v>30166776.48</v>
      </c>
      <c r="W77" s="83"/>
      <c r="X77" s="89">
        <f t="shared" si="18"/>
        <v>10630657.19</v>
      </c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75"/>
      <c r="M78" s="77"/>
      <c r="N78" s="4"/>
      <c r="O78" s="4"/>
      <c r="P78" s="4"/>
      <c r="Q78" s="4"/>
      <c r="R78" s="98" t="s">
        <v>129</v>
      </c>
      <c r="T78" s="83"/>
      <c r="U78" s="99" t="s">
        <v>130</v>
      </c>
      <c r="W78" s="83"/>
      <c r="X78" s="83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7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79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79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0">
    <mergeCell ref="A1:F1"/>
    <mergeCell ref="A2:F2"/>
    <mergeCell ref="A3:F3"/>
    <mergeCell ref="A4:F4"/>
    <mergeCell ref="A5:F5"/>
    <mergeCell ref="A6:F6"/>
    <mergeCell ref="A7:F7"/>
    <mergeCell ref="P11:Q11"/>
    <mergeCell ref="R11:R12"/>
    <mergeCell ref="R78:S78"/>
    <mergeCell ref="U78:V78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7:J67"/>
    <mergeCell ref="A68:J68"/>
    <mergeCell ref="A71:M71"/>
    <mergeCell ref="A11:J11"/>
    <mergeCell ref="A12:B12"/>
    <mergeCell ref="C12:C13"/>
    <mergeCell ref="D12:D13"/>
    <mergeCell ref="E12:F12"/>
    <mergeCell ref="G12:G13"/>
    <mergeCell ref="H12:I12"/>
  </mergeCells>
  <printOptions horizontalCentered="1"/>
  <pageMargins bottom="0.75" footer="0.0" header="0.0" left="0.7" right="0.7" top="0.75"/>
  <pageSetup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