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/>
  </bookViews>
  <sheets>
    <sheet name="JUNHO" sheetId="6" r:id="rId1"/>
  </sheets>
  <calcPr calcId="125725"/>
</workbook>
</file>

<file path=xl/calcChain.xml><?xml version="1.0" encoding="utf-8"?>
<calcChain xmlns="http://schemas.openxmlformats.org/spreadsheetml/2006/main">
  <c r="Q58" i="6"/>
  <c r="P58"/>
  <c r="Q57"/>
  <c r="P57"/>
  <c r="O57"/>
  <c r="R56"/>
  <c r="V56" s="1"/>
  <c r="N56"/>
  <c r="N55"/>
  <c r="R55" s="1"/>
  <c r="N54"/>
  <c r="R54" s="1"/>
  <c r="K53"/>
  <c r="N53" s="1"/>
  <c r="R53" s="1"/>
  <c r="M52"/>
  <c r="K52"/>
  <c r="N52" s="1"/>
  <c r="R52" s="1"/>
  <c r="W51"/>
  <c r="W50" s="1"/>
  <c r="U51"/>
  <c r="U50" s="1"/>
  <c r="S51"/>
  <c r="S50" s="1"/>
  <c r="L51"/>
  <c r="N51" s="1"/>
  <c r="R51" s="1"/>
  <c r="K51"/>
  <c r="K50" s="1"/>
  <c r="N49"/>
  <c r="R49" s="1"/>
  <c r="V49" s="1"/>
  <c r="N48"/>
  <c r="R48" s="1"/>
  <c r="N47"/>
  <c r="R47" s="1"/>
  <c r="X46"/>
  <c r="W46"/>
  <c r="W45" s="1"/>
  <c r="U46"/>
  <c r="U45" s="1"/>
  <c r="S46"/>
  <c r="R46"/>
  <c r="N46"/>
  <c r="K46"/>
  <c r="S45"/>
  <c r="K45"/>
  <c r="N45" s="1"/>
  <c r="R45" s="1"/>
  <c r="X44"/>
  <c r="V44"/>
  <c r="R44"/>
  <c r="T44" s="1"/>
  <c r="N44"/>
  <c r="V43"/>
  <c r="T43"/>
  <c r="R43"/>
  <c r="X43" s="1"/>
  <c r="N43"/>
  <c r="N42"/>
  <c r="R42" s="1"/>
  <c r="R41"/>
  <c r="V41" s="1"/>
  <c r="N41"/>
  <c r="N40"/>
  <c r="R40" s="1"/>
  <c r="N39"/>
  <c r="R39" s="1"/>
  <c r="X38"/>
  <c r="V38"/>
  <c r="T38"/>
  <c r="R38"/>
  <c r="N38"/>
  <c r="N37"/>
  <c r="R37" s="1"/>
  <c r="W36"/>
  <c r="W35" s="1"/>
  <c r="U36"/>
  <c r="S36"/>
  <c r="S35" s="1"/>
  <c r="L36"/>
  <c r="N36" s="1"/>
  <c r="R36" s="1"/>
  <c r="K36"/>
  <c r="K35" s="1"/>
  <c r="K57" s="1"/>
  <c r="M35"/>
  <c r="M57" s="1"/>
  <c r="N34"/>
  <c r="R34" s="1"/>
  <c r="N33"/>
  <c r="R33" s="1"/>
  <c r="N32"/>
  <c r="R32" s="1"/>
  <c r="T31"/>
  <c r="R31"/>
  <c r="X31" s="1"/>
  <c r="N31"/>
  <c r="R30"/>
  <c r="T30" s="1"/>
  <c r="N30"/>
  <c r="Q27"/>
  <c r="P27"/>
  <c r="O27"/>
  <c r="M27"/>
  <c r="R26"/>
  <c r="X26" s="1"/>
  <c r="N26"/>
  <c r="W25"/>
  <c r="W24" s="1"/>
  <c r="W27" s="1"/>
  <c r="U25"/>
  <c r="U24" s="1"/>
  <c r="S25"/>
  <c r="S24" s="1"/>
  <c r="K25"/>
  <c r="N25" s="1"/>
  <c r="R25" s="1"/>
  <c r="Q24"/>
  <c r="L24"/>
  <c r="L27" s="1"/>
  <c r="R23"/>
  <c r="X23" s="1"/>
  <c r="N23"/>
  <c r="V22"/>
  <c r="T22"/>
  <c r="R22"/>
  <c r="X22" s="1"/>
  <c r="N22"/>
  <c r="R21"/>
  <c r="V21" s="1"/>
  <c r="N21"/>
  <c r="N20"/>
  <c r="R20" s="1"/>
  <c r="N19"/>
  <c r="R19" s="1"/>
  <c r="T18"/>
  <c r="R18"/>
  <c r="V18" s="1"/>
  <c r="N18"/>
  <c r="N17"/>
  <c r="R17" s="1"/>
  <c r="T16"/>
  <c r="S16"/>
  <c r="R16"/>
  <c r="X16" s="1"/>
  <c r="N16"/>
  <c r="R15"/>
  <c r="V15" s="1"/>
  <c r="N15"/>
  <c r="N14"/>
  <c r="R14" s="1"/>
  <c r="V14" s="1"/>
  <c r="X42" l="1"/>
  <c r="T42"/>
  <c r="V42"/>
  <c r="T33"/>
  <c r="X33"/>
  <c r="V33"/>
  <c r="N50"/>
  <c r="R50" s="1"/>
  <c r="X50" s="1"/>
  <c r="O58"/>
  <c r="L50"/>
  <c r="T46"/>
  <c r="X18"/>
  <c r="V23"/>
  <c r="M58"/>
  <c r="T23"/>
  <c r="T26"/>
  <c r="W57"/>
  <c r="T15"/>
  <c r="T19"/>
  <c r="V19"/>
  <c r="X19"/>
  <c r="T54"/>
  <c r="V54"/>
  <c r="X54"/>
  <c r="T37"/>
  <c r="V37"/>
  <c r="X37"/>
  <c r="T53"/>
  <c r="V53"/>
  <c r="X53"/>
  <c r="X45"/>
  <c r="T45"/>
  <c r="V45"/>
  <c r="T52"/>
  <c r="V52"/>
  <c r="X52"/>
  <c r="T32"/>
  <c r="V32"/>
  <c r="X32"/>
  <c r="T48"/>
  <c r="V48"/>
  <c r="X48"/>
  <c r="T55"/>
  <c r="V55"/>
  <c r="X55"/>
  <c r="X36"/>
  <c r="T36"/>
  <c r="V36"/>
  <c r="T47"/>
  <c r="V47"/>
  <c r="X47"/>
  <c r="T20"/>
  <c r="V20"/>
  <c r="X20"/>
  <c r="T17"/>
  <c r="V17"/>
  <c r="X17"/>
  <c r="U27"/>
  <c r="T40"/>
  <c r="V40"/>
  <c r="X40"/>
  <c r="T39"/>
  <c r="V39"/>
  <c r="X39"/>
  <c r="T51"/>
  <c r="V51"/>
  <c r="X51"/>
  <c r="T50"/>
  <c r="T25"/>
  <c r="V25"/>
  <c r="X25"/>
  <c r="W58"/>
  <c r="T34"/>
  <c r="V34"/>
  <c r="X34"/>
  <c r="T14"/>
  <c r="V16"/>
  <c r="T21"/>
  <c r="V26"/>
  <c r="V31"/>
  <c r="U35"/>
  <c r="U57" s="1"/>
  <c r="T41"/>
  <c r="T49"/>
  <c r="T56"/>
  <c r="S57"/>
  <c r="S27"/>
  <c r="V46"/>
  <c r="X30"/>
  <c r="X15"/>
  <c r="V30"/>
  <c r="L35"/>
  <c r="X14"/>
  <c r="X21"/>
  <c r="X41"/>
  <c r="X49"/>
  <c r="X56"/>
  <c r="K24"/>
  <c r="V50" l="1"/>
  <c r="U58"/>
  <c r="L57"/>
  <c r="L58" s="1"/>
  <c r="K27"/>
  <c r="K58" s="1"/>
  <c r="N24"/>
  <c r="S58"/>
  <c r="N35"/>
  <c r="R24" l="1"/>
  <c r="R27" s="1"/>
  <c r="N27"/>
  <c r="N58" s="1"/>
  <c r="R35"/>
  <c r="N57"/>
  <c r="X27" l="1"/>
  <c r="T27"/>
  <c r="V27"/>
  <c r="T24"/>
  <c r="V24"/>
  <c r="X24"/>
  <c r="V35"/>
  <c r="X35"/>
  <c r="T35"/>
  <c r="R57"/>
  <c r="V57" l="1"/>
  <c r="X57"/>
  <c r="T57"/>
  <c r="R58"/>
  <c r="T58" l="1"/>
  <c r="V58"/>
  <c r="X58"/>
</calcChain>
</file>

<file path=xl/sharedStrings.xml><?xml version="1.0" encoding="utf-8"?>
<sst xmlns="http://schemas.openxmlformats.org/spreadsheetml/2006/main" count="419" uniqueCount="125">
  <si>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</si>
  <si>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</si>
  <si>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</si>
  <si>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</si>
  <si>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</si>
  <si>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</si>
  <si>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</si>
  <si>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</si>
  <si>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</si>
  <si>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</si>
  <si>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</si>
  <si>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</si>
  <si>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</si>
  <si>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</si>
  <si>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</si>
  <si>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</si>
  <si>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</si>
  <si>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</si>
  <si>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</si>
  <si>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</si>
  <si>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</si>
  <si>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</si>
  <si>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</si>
  <si>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</si>
  <si>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</si>
  <si>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</si>
  <si>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</si>
  <si>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</si>
  <si>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</si>
  <si>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</si>
  <si>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</si>
  <si>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</si>
  <si>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</si>
  <si>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</si>
  <si>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</si>
  <si>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</si>
  <si>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</si>
  <si>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</si>
  <si>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</si>
  <si>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</si>
  <si>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</si>
  <si>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</si>
  <si>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</si>
  <si>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</si>
  <si>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</si>
  <si>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</si>
  <si>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</si>
  <si>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</si>
  <si>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</si>
  <si>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</si>
  <si>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</si>
  <si>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</si>
  <si>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</si>
  <si>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</si>
  <si>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</si>
  <si>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</si>
  <si>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</si>
  <si>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</si>
  <si>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</si>
  <si>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</si>
  <si>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</si>
  <si>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</si>
  <si>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</si>
  <si>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</si>
  <si>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</si>
  <si>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</si>
  <si>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</si>
  <si>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</si>
  <si>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</si>
  <si>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</si>
  <si>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</si>
  <si>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</si>
  <si>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</si>
  <si>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</si>
  <si>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</si>
  <si>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</si>
  <si>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</si>
  <si>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</si>
  <si>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</si>
  <si>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</si>
  <si>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</si>
  <si>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</si>
  <si>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</si>
  <si>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</si>
  <si>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</si>
  <si>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</si>
  <si>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</si>
  <si>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</si>
  <si>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</si>
  <si>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</si>
  <si>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</si>
  <si>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</si>
  <si>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</si>
  <si>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</si>
  <si>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</si>
  <si>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</si>
  <si>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</si>
  <si>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</si>
  <si>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</si>
  <si>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</si>
  <si>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</si>
  <si>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</si>
  <si>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</si>
  <si>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</si>
  <si>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</si>
  <si>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</si>
  <si>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</si>
  <si>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</si>
  <si>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</si>
  <si>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</si>
  <si>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</si>
  <si>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</si>
  <si>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</si>
  <si>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</si>
  <si>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</si>
  <si>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</si>
  <si>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</si>
  <si>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</si>
  <si>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</si>
  <si>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</si>
  <si>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Responsável pela Informação: SECRETÁRIA DE ORÇAMENTO E FINANÇAS</t>
  </si>
  <si>
    <t>2.759.201.0.0000.0000</t>
  </si>
  <si>
    <t>2.759.285.0.0000.0000</t>
  </si>
  <si>
    <t>Mês de Referência: 06/2025</t>
  </si>
  <si>
    <t>Data da Publicação: 11/07/2025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</si>
</sst>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8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  <fill>
      <patternFill patternType="solid">
        <fgColor rgb="FFFF0000"/>
        <bgColor rgb="FFDBE5F1"/>
      </patternFill>
    </fill>
  </fills>
  <borders count="17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49" fontId="5" fillId="0" borderId="12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/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6" fontId="5" fillId="10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67"/>
  <sheetViews>
    <sheetView tabSelected="1" workbookViewId="0">
      <selection activeCell="U60" sqref="U60"/>
    </sheetView>
  </sheetViews>
  <sheetFormatPr defaultColWidth="12.5703125" defaultRowHeight="15.75" customHeight="1"/>
  <cols>
    <col min="8" max="8" width="13" customWidth="1"/>
    <col min="18" max="18" width="14" customWidth="1"/>
    <col min="21" max="21" width="14.140625" customWidth="1"/>
    <col min="25" max="25" width="15.7109375" customWidth="1"/>
  </cols>
  <sheetData>
    <row r="1" spans="1:27">
      <c r="A1" s="58" t="s">
        <v>0</v>
      </c>
      <c r="B1" s="59"/>
      <c r="C1" s="59"/>
      <c r="D1" s="59"/>
      <c r="E1" s="59"/>
      <c r="F1" s="60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61" t="s">
        <v>1</v>
      </c>
      <c r="B2" s="62"/>
      <c r="C2" s="62"/>
      <c r="D2" s="62"/>
      <c r="E2" s="62"/>
      <c r="F2" s="63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61" t="s">
        <v>2</v>
      </c>
      <c r="B3" s="62"/>
      <c r="C3" s="62"/>
      <c r="D3" s="62"/>
      <c r="E3" s="62"/>
      <c r="F3" s="63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4" t="s">
        <v>3</v>
      </c>
      <c r="B4" s="59"/>
      <c r="C4" s="59"/>
      <c r="D4" s="59"/>
      <c r="E4" s="59"/>
      <c r="F4" s="60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79" t="s">
        <v>120</v>
      </c>
      <c r="B5" s="65"/>
      <c r="C5" s="65"/>
      <c r="D5" s="65"/>
      <c r="E5" s="65"/>
      <c r="F5" s="66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4" t="s">
        <v>123</v>
      </c>
      <c r="B6" s="59"/>
      <c r="C6" s="59"/>
      <c r="D6" s="59"/>
      <c r="E6" s="59"/>
      <c r="F6" s="60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67" t="s">
        <v>124</v>
      </c>
      <c r="B7" s="59"/>
      <c r="C7" s="59"/>
      <c r="D7" s="59"/>
      <c r="E7" s="59"/>
      <c r="F7" s="60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71"/>
      <c r="B8" s="65"/>
      <c r="C8" s="65"/>
      <c r="D8" s="65"/>
      <c r="E8" s="65"/>
      <c r="F8" s="65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72" t="s">
        <v>4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>
      <c r="A11" s="68" t="s">
        <v>5</v>
      </c>
      <c r="B11" s="59"/>
      <c r="C11" s="59"/>
      <c r="D11" s="59"/>
      <c r="E11" s="59"/>
      <c r="F11" s="59"/>
      <c r="G11" s="59"/>
      <c r="H11" s="59"/>
      <c r="I11" s="59"/>
      <c r="J11" s="60"/>
      <c r="K11" s="69" t="s">
        <v>6</v>
      </c>
      <c r="L11" s="68" t="s">
        <v>7</v>
      </c>
      <c r="M11" s="60"/>
      <c r="N11" s="69" t="s">
        <v>8</v>
      </c>
      <c r="O11" s="69" t="s">
        <v>9</v>
      </c>
      <c r="P11" s="68" t="s">
        <v>10</v>
      </c>
      <c r="Q11" s="60"/>
      <c r="R11" s="69" t="s">
        <v>11</v>
      </c>
      <c r="S11" s="68" t="s">
        <v>12</v>
      </c>
      <c r="T11" s="59"/>
      <c r="U11" s="59"/>
      <c r="V11" s="59"/>
      <c r="W11" s="59"/>
      <c r="X11" s="60"/>
      <c r="Y11" s="1"/>
      <c r="Z11" s="1"/>
      <c r="AA11" s="1"/>
    </row>
    <row r="12" spans="1:27" ht="14.25">
      <c r="A12" s="78" t="s">
        <v>13</v>
      </c>
      <c r="B12" s="60"/>
      <c r="C12" s="69" t="s">
        <v>14</v>
      </c>
      <c r="D12" s="69" t="s">
        <v>15</v>
      </c>
      <c r="E12" s="78" t="s">
        <v>16</v>
      </c>
      <c r="F12" s="60"/>
      <c r="G12" s="69" t="s">
        <v>17</v>
      </c>
      <c r="H12" s="78" t="s">
        <v>18</v>
      </c>
      <c r="I12" s="60"/>
      <c r="J12" s="73" t="s">
        <v>19</v>
      </c>
      <c r="K12" s="70"/>
      <c r="L12" s="7" t="s">
        <v>20</v>
      </c>
      <c r="M12" s="7" t="s">
        <v>21</v>
      </c>
      <c r="N12" s="70"/>
      <c r="O12" s="70"/>
      <c r="P12" s="7" t="s">
        <v>22</v>
      </c>
      <c r="Q12" s="7" t="s">
        <v>23</v>
      </c>
      <c r="R12" s="70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 ht="33" customHeight="1">
      <c r="A13" s="10" t="s">
        <v>28</v>
      </c>
      <c r="B13" s="10" t="s">
        <v>16</v>
      </c>
      <c r="C13" s="70"/>
      <c r="D13" s="70"/>
      <c r="E13" s="10" t="s">
        <v>29</v>
      </c>
      <c r="F13" s="10" t="s">
        <v>30</v>
      </c>
      <c r="G13" s="70"/>
      <c r="H13" s="10" t="s">
        <v>28</v>
      </c>
      <c r="I13" s="10" t="s">
        <v>16</v>
      </c>
      <c r="J13" s="70"/>
      <c r="K13" s="10" t="s">
        <v>31</v>
      </c>
      <c r="L13" s="10" t="s">
        <v>32</v>
      </c>
      <c r="M13" s="10" t="s">
        <v>33</v>
      </c>
      <c r="N13" s="7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0" t="s">
        <v>39</v>
      </c>
      <c r="T13" s="80" t="s">
        <v>40</v>
      </c>
      <c r="U13" s="10" t="s">
        <v>41</v>
      </c>
      <c r="V13" s="80" t="s">
        <v>42</v>
      </c>
      <c r="W13" s="81" t="s">
        <v>43</v>
      </c>
      <c r="X13" s="80" t="s">
        <v>44</v>
      </c>
      <c r="Y13" s="1"/>
      <c r="Z13" s="1"/>
      <c r="AA13" s="1"/>
    </row>
    <row r="14" spans="1:27" ht="52.5" customHeight="1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100000</v>
      </c>
      <c r="N14" s="16">
        <f t="shared" ref="N14:N26" si="0">K14+L14-M14</f>
        <v>0</v>
      </c>
      <c r="O14" s="17"/>
      <c r="P14" s="17"/>
      <c r="Q14" s="17"/>
      <c r="R14" s="16">
        <f t="shared" ref="R14:R26" si="1">N14-O14+P14+Q14</f>
        <v>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52.5" customHeight="1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0</v>
      </c>
      <c r="N15" s="16">
        <f t="shared" si="0"/>
        <v>84417500</v>
      </c>
      <c r="O15" s="20"/>
      <c r="P15" s="17"/>
      <c r="Q15" s="17"/>
      <c r="R15" s="16">
        <f t="shared" si="1"/>
        <v>84417500</v>
      </c>
      <c r="S15" s="15">
        <v>41836679.350000001</v>
      </c>
      <c r="T15" s="18">
        <f t="shared" si="2"/>
        <v>0.49559249385494714</v>
      </c>
      <c r="U15" s="19">
        <v>38056143.659999996</v>
      </c>
      <c r="V15" s="18">
        <f t="shared" si="3"/>
        <v>0.4508087026979003</v>
      </c>
      <c r="W15" s="15">
        <v>38056143.659999996</v>
      </c>
      <c r="X15" s="18">
        <f t="shared" si="4"/>
        <v>0.4508087026979003</v>
      </c>
      <c r="Y15" s="21"/>
      <c r="Z15" s="1"/>
      <c r="AA15" s="1"/>
    </row>
    <row r="16" spans="1:27" ht="52.5" customHeight="1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v>509048274</v>
      </c>
      <c r="L16" s="15">
        <v>5004381.93</v>
      </c>
      <c r="M16" s="15">
        <v>5004381.93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f>268546388.9</f>
        <v>268546388.89999998</v>
      </c>
      <c r="T16" s="18">
        <f t="shared" si="2"/>
        <v>0.52754601599926054</v>
      </c>
      <c r="U16" s="23">
        <v>263956843.72</v>
      </c>
      <c r="V16" s="18">
        <f t="shared" si="3"/>
        <v>0.51853008290526093</v>
      </c>
      <c r="W16" s="15">
        <v>249196280.84</v>
      </c>
      <c r="X16" s="18">
        <f t="shared" si="4"/>
        <v>0.48953369172999101</v>
      </c>
      <c r="Y16" s="1"/>
      <c r="Z16" s="1"/>
      <c r="AA16" s="1"/>
    </row>
    <row r="17" spans="1:27" ht="52.5" customHeight="1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14234466.01</v>
      </c>
      <c r="T17" s="18">
        <f t="shared" si="2"/>
        <v>0.57370668362123867</v>
      </c>
      <c r="U17" s="19">
        <v>14142808.16</v>
      </c>
      <c r="V17" s="18">
        <f t="shared" si="3"/>
        <v>0.57001250070532095</v>
      </c>
      <c r="W17" s="15">
        <v>14142808.16</v>
      </c>
      <c r="X17" s="18">
        <f t="shared" si="4"/>
        <v>0.57001250070532095</v>
      </c>
      <c r="Y17" s="1"/>
      <c r="Z17" s="1"/>
      <c r="AA17" s="1"/>
    </row>
    <row r="18" spans="1:27" ht="52.5" customHeight="1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22924.43</v>
      </c>
      <c r="N18" s="16">
        <f t="shared" si="0"/>
        <v>27075.57</v>
      </c>
      <c r="O18" s="17"/>
      <c r="P18" s="17"/>
      <c r="Q18" s="17"/>
      <c r="R18" s="16">
        <f t="shared" si="1"/>
        <v>27075.57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52.5" customHeight="1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3198053.72</v>
      </c>
      <c r="M19" s="15">
        <v>3198053.72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75537106.510000005</v>
      </c>
      <c r="T19" s="18">
        <f t="shared" si="2"/>
        <v>0.56103950765909538</v>
      </c>
      <c r="U19" s="23">
        <v>73267244.579999998</v>
      </c>
      <c r="V19" s="18">
        <f t="shared" si="3"/>
        <v>0.54418047931528746</v>
      </c>
      <c r="W19" s="15">
        <v>69354486.590000004</v>
      </c>
      <c r="X19" s="18">
        <f t="shared" si="4"/>
        <v>0.51511910911297276</v>
      </c>
      <c r="Y19" s="1"/>
      <c r="Z19" s="1"/>
      <c r="AA19" s="1"/>
    </row>
    <row r="20" spans="1:27" ht="52.5" customHeight="1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104331.88</v>
      </c>
      <c r="M20" s="15">
        <v>104331.88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84094945.780000001</v>
      </c>
      <c r="T20" s="18">
        <f t="shared" si="2"/>
        <v>0.49080835660260785</v>
      </c>
      <c r="U20" s="23">
        <v>83090600.019999996</v>
      </c>
      <c r="V20" s="18">
        <f t="shared" si="3"/>
        <v>0.48494663343536804</v>
      </c>
      <c r="W20" s="15">
        <v>78160690.510000005</v>
      </c>
      <c r="X20" s="18">
        <f t="shared" si="4"/>
        <v>0.4561739080074611</v>
      </c>
      <c r="Y20" s="1"/>
      <c r="Z20" s="1"/>
      <c r="AA20" s="1"/>
    </row>
    <row r="21" spans="1:27" ht="52.5" customHeight="1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19500</v>
      </c>
      <c r="M21" s="15">
        <v>19500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14743429.880000001</v>
      </c>
      <c r="T21" s="18">
        <f t="shared" si="2"/>
        <v>0.53841150340354671</v>
      </c>
      <c r="U21" s="19">
        <v>14634196.32</v>
      </c>
      <c r="V21" s="18">
        <f t="shared" si="3"/>
        <v>0.53442243127172862</v>
      </c>
      <c r="W21" s="15">
        <v>14634196.32</v>
      </c>
      <c r="X21" s="18">
        <f t="shared" si="4"/>
        <v>0.53442243127172862</v>
      </c>
      <c r="Y21" s="1"/>
      <c r="Z21" s="1"/>
      <c r="AA21" s="1"/>
    </row>
    <row r="22" spans="1:27" ht="52.5" customHeight="1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235065</v>
      </c>
      <c r="T22" s="18">
        <f t="shared" si="2"/>
        <v>0.63949170386935128</v>
      </c>
      <c r="U22" s="23">
        <v>235065</v>
      </c>
      <c r="V22" s="18">
        <f t="shared" si="3"/>
        <v>0.63949170386935128</v>
      </c>
      <c r="W22" s="15">
        <v>235065</v>
      </c>
      <c r="X22" s="18">
        <f t="shared" si="4"/>
        <v>0.63949170386935128</v>
      </c>
      <c r="Y22" s="1"/>
      <c r="Z22" s="1"/>
      <c r="AA22" s="1"/>
    </row>
    <row r="23" spans="1:27" ht="52.5" customHeight="1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123525</v>
      </c>
      <c r="T23" s="18">
        <f t="shared" si="2"/>
        <v>0.4036764705882353</v>
      </c>
      <c r="U23" s="23">
        <v>123525</v>
      </c>
      <c r="V23" s="18">
        <f t="shared" si="3"/>
        <v>0.4036764705882353</v>
      </c>
      <c r="W23" s="15">
        <v>123525</v>
      </c>
      <c r="X23" s="18">
        <f t="shared" si="4"/>
        <v>0.4036764705882353</v>
      </c>
      <c r="Y23" s="1"/>
      <c r="Z23" s="1"/>
      <c r="AA23" s="1"/>
    </row>
    <row r="24" spans="1:27" ht="52.5" customHeight="1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f>28695312-L25</f>
        <v>27695312</v>
      </c>
      <c r="M24" s="15">
        <v>28695312</v>
      </c>
      <c r="N24" s="16">
        <f t="shared" si="0"/>
        <v>139090700</v>
      </c>
      <c r="O24" s="17"/>
      <c r="P24" s="17"/>
      <c r="Q24" s="26">
        <f>12325133.24+17278999.34</f>
        <v>29604132.579999998</v>
      </c>
      <c r="R24" s="16">
        <f t="shared" si="1"/>
        <v>168694832.57999998</v>
      </c>
      <c r="S24" s="27">
        <f>51182789.29-S25</f>
        <v>44866147.68</v>
      </c>
      <c r="T24" s="18">
        <f t="shared" si="2"/>
        <v>0.26596041499210221</v>
      </c>
      <c r="U24" s="28">
        <f>31736361.5-U25</f>
        <v>27571160</v>
      </c>
      <c r="V24" s="18">
        <f t="shared" si="3"/>
        <v>0.16343808271023924</v>
      </c>
      <c r="W24" s="27">
        <f>30304077.39-W25</f>
        <v>26138875.890000001</v>
      </c>
      <c r="X24" s="18">
        <f t="shared" si="4"/>
        <v>0.15494769750937207</v>
      </c>
      <c r="Y24" s="1"/>
      <c r="Z24" s="1"/>
      <c r="AA24" s="1"/>
    </row>
    <row r="25" spans="1:27" ht="52.5" customHeight="1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f>6237900</f>
        <v>6237900</v>
      </c>
      <c r="L25" s="15">
        <v>1000000</v>
      </c>
      <c r="M25" s="15">
        <v>0</v>
      </c>
      <c r="N25" s="16">
        <f t="shared" si="0"/>
        <v>7237900</v>
      </c>
      <c r="O25" s="17"/>
      <c r="P25" s="17"/>
      <c r="Q25" s="17"/>
      <c r="R25" s="16">
        <f t="shared" si="1"/>
        <v>7237900</v>
      </c>
      <c r="S25" s="27">
        <f>7782.75+142552.49+6166306.37</f>
        <v>6316641.6100000003</v>
      </c>
      <c r="T25" s="18">
        <f t="shared" si="2"/>
        <v>0.87271744704955867</v>
      </c>
      <c r="U25" s="29">
        <f>7782.75+142552.49+4014866.26</f>
        <v>4165201.5</v>
      </c>
      <c r="V25" s="18">
        <f t="shared" si="3"/>
        <v>0.57547099296757342</v>
      </c>
      <c r="W25" s="25">
        <f>7782.75+142552.49+4014866.26</f>
        <v>4165201.5</v>
      </c>
      <c r="X25" s="18">
        <f t="shared" si="4"/>
        <v>0.57547099296757342</v>
      </c>
      <c r="Y25" s="1"/>
      <c r="Z25" s="1"/>
      <c r="AA25" s="1"/>
    </row>
    <row r="26" spans="1:27" ht="52.5" customHeight="1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122924.43</v>
      </c>
      <c r="M26" s="15">
        <v>0</v>
      </c>
      <c r="N26" s="16">
        <f t="shared" si="0"/>
        <v>965924.42999999993</v>
      </c>
      <c r="O26" s="17"/>
      <c r="P26" s="17"/>
      <c r="Q26" s="17"/>
      <c r="R26" s="16">
        <f t="shared" si="1"/>
        <v>965924.42999999993</v>
      </c>
      <c r="S26" s="15">
        <v>965924.43</v>
      </c>
      <c r="T26" s="18">
        <f t="shared" si="2"/>
        <v>1.0000000000000002</v>
      </c>
      <c r="U26" s="23">
        <v>965924.43</v>
      </c>
      <c r="V26" s="18">
        <f t="shared" si="3"/>
        <v>1.0000000000000002</v>
      </c>
      <c r="W26" s="15">
        <v>965924.43</v>
      </c>
      <c r="X26" s="18">
        <f t="shared" si="4"/>
        <v>1.0000000000000002</v>
      </c>
      <c r="Y26" s="1"/>
      <c r="Z26" s="1"/>
      <c r="AA26" s="1"/>
    </row>
    <row r="27" spans="1:27">
      <c r="A27" s="74" t="s">
        <v>83</v>
      </c>
      <c r="B27" s="59"/>
      <c r="C27" s="59"/>
      <c r="D27" s="59"/>
      <c r="E27" s="59"/>
      <c r="F27" s="59"/>
      <c r="G27" s="59"/>
      <c r="H27" s="59"/>
      <c r="I27" s="59"/>
      <c r="J27" s="60"/>
      <c r="K27" s="31">
        <f t="shared" ref="K27:S27" si="5">SUM(K14:K26)</f>
        <v>1099633000</v>
      </c>
      <c r="L27" s="31">
        <f t="shared" si="5"/>
        <v>37144503.960000001</v>
      </c>
      <c r="M27" s="31">
        <f t="shared" si="5"/>
        <v>37144503.960000001</v>
      </c>
      <c r="N27" s="31">
        <f t="shared" si="5"/>
        <v>1099633000.0000002</v>
      </c>
      <c r="O27" s="31">
        <f t="shared" si="5"/>
        <v>0</v>
      </c>
      <c r="P27" s="31">
        <f t="shared" si="5"/>
        <v>0</v>
      </c>
      <c r="Q27" s="31">
        <f t="shared" si="5"/>
        <v>29604132.579999998</v>
      </c>
      <c r="R27" s="31">
        <f t="shared" si="5"/>
        <v>1129237132.5800002</v>
      </c>
      <c r="S27" s="31">
        <f t="shared" si="5"/>
        <v>551500320.14999986</v>
      </c>
      <c r="T27" s="32">
        <f t="shared" si="2"/>
        <v>0.48838308999808694</v>
      </c>
      <c r="U27" s="31">
        <f>SUM(U14:U26)</f>
        <v>520208712.38999999</v>
      </c>
      <c r="V27" s="32">
        <f t="shared" si="3"/>
        <v>0.46067269431838853</v>
      </c>
      <c r="W27" s="31">
        <f>SUM(W14:W26)</f>
        <v>495173197.89999998</v>
      </c>
      <c r="X27" s="32">
        <f t="shared" si="4"/>
        <v>0.43850240451149858</v>
      </c>
      <c r="Y27" s="1"/>
      <c r="Z27" s="1"/>
      <c r="AA27" s="1"/>
    </row>
    <row r="28" spans="1:27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60" customHeight="1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4599801.4000000004</v>
      </c>
      <c r="N30" s="16">
        <f t="shared" ref="N30:N56" si="6">K30+L30-M30</f>
        <v>640698.59999999963</v>
      </c>
      <c r="O30" s="17"/>
      <c r="P30" s="17"/>
      <c r="Q30" s="17"/>
      <c r="R30" s="16">
        <f t="shared" ref="R30:R56" si="7">N30-O30+P30+Q30</f>
        <v>640698.59999999963</v>
      </c>
      <c r="S30" s="40">
        <v>0</v>
      </c>
      <c r="T30" s="18">
        <f t="shared" ref="T30:T58" si="8">IF(R30&gt;0,S30/R30,0)</f>
        <v>0</v>
      </c>
      <c r="U30" s="41">
        <v>0</v>
      </c>
      <c r="V30" s="18">
        <f t="shared" ref="V30:V58" si="9">IF(R30&gt;0,U30/R30,0)</f>
        <v>0</v>
      </c>
      <c r="W30" s="15">
        <v>0</v>
      </c>
      <c r="X30" s="18">
        <f t="shared" ref="X30:X58" si="10">IF(R30&gt;0,W30/R30,0)</f>
        <v>0</v>
      </c>
      <c r="Y30" s="1"/>
      <c r="Z30" s="1"/>
      <c r="AA30" s="1"/>
    </row>
    <row r="31" spans="1:27" ht="60" customHeight="1">
      <c r="A31" s="11" t="s">
        <v>84</v>
      </c>
      <c r="B31" s="12" t="s">
        <v>85</v>
      </c>
      <c r="C31" s="12" t="s">
        <v>47</v>
      </c>
      <c r="D31" s="12" t="s">
        <v>90</v>
      </c>
      <c r="E31" s="12" t="s">
        <v>49</v>
      </c>
      <c r="F31" s="12" t="s">
        <v>87</v>
      </c>
      <c r="G31" s="12" t="s">
        <v>51</v>
      </c>
      <c r="H31" s="12" t="s">
        <v>88</v>
      </c>
      <c r="I31" s="12" t="s">
        <v>89</v>
      </c>
      <c r="J31" s="39">
        <v>4</v>
      </c>
      <c r="K31" s="24">
        <v>0</v>
      </c>
      <c r="L31" s="15">
        <v>320208.37</v>
      </c>
      <c r="M31" s="15">
        <v>0</v>
      </c>
      <c r="N31" s="16">
        <f t="shared" si="6"/>
        <v>320208.37</v>
      </c>
      <c r="O31" s="17"/>
      <c r="P31" s="17"/>
      <c r="Q31" s="17"/>
      <c r="R31" s="16">
        <f t="shared" si="7"/>
        <v>320208.37</v>
      </c>
      <c r="S31" s="40">
        <v>320208.37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60" customHeight="1">
      <c r="A32" s="11" t="s">
        <v>84</v>
      </c>
      <c r="B32" s="12" t="s">
        <v>85</v>
      </c>
      <c r="C32" s="12" t="s">
        <v>47</v>
      </c>
      <c r="D32" s="12" t="s">
        <v>91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449787.42</v>
      </c>
      <c r="M32" s="15">
        <v>0</v>
      </c>
      <c r="N32" s="16">
        <f t="shared" si="6"/>
        <v>449787.42</v>
      </c>
      <c r="O32" s="17"/>
      <c r="P32" s="17"/>
      <c r="Q32" s="17"/>
      <c r="R32" s="16">
        <f t="shared" si="7"/>
        <v>449787.42</v>
      </c>
      <c r="S32" s="40">
        <v>449787.42</v>
      </c>
      <c r="T32" s="18">
        <f t="shared" si="8"/>
        <v>1</v>
      </c>
      <c r="U32" s="41">
        <v>292961.14</v>
      </c>
      <c r="V32" s="18">
        <f t="shared" si="9"/>
        <v>0.65133244500257481</v>
      </c>
      <c r="W32" s="15">
        <v>292961.14</v>
      </c>
      <c r="X32" s="18">
        <f t="shared" si="10"/>
        <v>0.65133244500257481</v>
      </c>
      <c r="Y32" s="1"/>
      <c r="Z32" s="1"/>
      <c r="AA32" s="1"/>
    </row>
    <row r="33" spans="1:27" ht="60" customHeight="1">
      <c r="A33" s="11" t="s">
        <v>84</v>
      </c>
      <c r="B33" s="12" t="s">
        <v>85</v>
      </c>
      <c r="C33" s="12" t="s">
        <v>47</v>
      </c>
      <c r="D33" s="12" t="s">
        <v>92</v>
      </c>
      <c r="E33" s="12" t="s">
        <v>49</v>
      </c>
      <c r="F33" s="12" t="s">
        <v>87</v>
      </c>
      <c r="G33" s="12" t="s">
        <v>51</v>
      </c>
      <c r="H33" s="12" t="s">
        <v>88</v>
      </c>
      <c r="I33" s="12" t="s">
        <v>89</v>
      </c>
      <c r="J33" s="39">
        <v>4</v>
      </c>
      <c r="K33" s="24">
        <v>0</v>
      </c>
      <c r="L33" s="15">
        <v>13441276.48</v>
      </c>
      <c r="M33" s="15">
        <v>0</v>
      </c>
      <c r="N33" s="16">
        <f t="shared" si="6"/>
        <v>13441276.48</v>
      </c>
      <c r="O33" s="17"/>
      <c r="P33" s="17"/>
      <c r="Q33" s="17"/>
      <c r="R33" s="16">
        <f t="shared" si="7"/>
        <v>13441276.48</v>
      </c>
      <c r="S33" s="40">
        <v>12992723.949999999</v>
      </c>
      <c r="T33" s="18">
        <f t="shared" si="8"/>
        <v>0.96662872528011556</v>
      </c>
      <c r="U33" s="41">
        <v>1914089.1</v>
      </c>
      <c r="V33" s="18">
        <f t="shared" si="9"/>
        <v>0.14240381877778321</v>
      </c>
      <c r="W33" s="15">
        <v>1914089.1</v>
      </c>
      <c r="X33" s="18">
        <f t="shared" si="10"/>
        <v>0.14240381877778321</v>
      </c>
      <c r="Y33" s="1"/>
      <c r="Z33" s="1"/>
      <c r="AA33" s="1"/>
    </row>
    <row r="34" spans="1:27" ht="60" customHeight="1">
      <c r="A34" s="11" t="s">
        <v>84</v>
      </c>
      <c r="B34" s="12" t="s">
        <v>85</v>
      </c>
      <c r="C34" s="12" t="s">
        <v>47</v>
      </c>
      <c r="D34" s="12" t="s">
        <v>93</v>
      </c>
      <c r="E34" s="12" t="s">
        <v>49</v>
      </c>
      <c r="F34" s="12" t="s">
        <v>94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 ht="60" customHeight="1">
      <c r="A35" s="11" t="s">
        <v>84</v>
      </c>
      <c r="B35" s="12" t="s">
        <v>85</v>
      </c>
      <c r="C35" s="12" t="s">
        <v>47</v>
      </c>
      <c r="D35" s="12" t="s">
        <v>48</v>
      </c>
      <c r="E35" s="12" t="s">
        <v>49</v>
      </c>
      <c r="F35" s="12" t="s">
        <v>95</v>
      </c>
      <c r="G35" s="12" t="s">
        <v>51</v>
      </c>
      <c r="H35" s="12" t="s">
        <v>88</v>
      </c>
      <c r="I35" s="12" t="s">
        <v>89</v>
      </c>
      <c r="J35" s="13">
        <v>3</v>
      </c>
      <c r="K35" s="42">
        <f>162737000-K36</f>
        <v>160337000</v>
      </c>
      <c r="L35" s="15">
        <f>3004967.29-L36</f>
        <v>2852988.09</v>
      </c>
      <c r="M35" s="15">
        <f>27132240.51-M36</f>
        <v>27080261.310000002</v>
      </c>
      <c r="N35" s="16">
        <f t="shared" si="6"/>
        <v>136109726.78</v>
      </c>
      <c r="O35" s="17"/>
      <c r="P35" s="17"/>
      <c r="Q35" s="17"/>
      <c r="R35" s="16">
        <f t="shared" si="7"/>
        <v>136109726.78</v>
      </c>
      <c r="S35" s="42">
        <f>86656171.36-S36</f>
        <v>84479194.069999993</v>
      </c>
      <c r="T35" s="18">
        <f t="shared" si="8"/>
        <v>0.62066977921825783</v>
      </c>
      <c r="U35" s="19">
        <f>36604912.88-U36</f>
        <v>35844759.68</v>
      </c>
      <c r="V35" s="18">
        <f t="shared" si="9"/>
        <v>0.26335193323793399</v>
      </c>
      <c r="W35" s="15">
        <f>36100524.86-W36</f>
        <v>35340371.659999996</v>
      </c>
      <c r="X35" s="18">
        <f t="shared" si="10"/>
        <v>0.25964618764625219</v>
      </c>
      <c r="Y35" s="1"/>
      <c r="Z35" s="1"/>
      <c r="AA35" s="1"/>
    </row>
    <row r="36" spans="1:27" ht="60" customHeight="1">
      <c r="A36" s="11" t="s">
        <v>84</v>
      </c>
      <c r="B36" s="12" t="s">
        <v>85</v>
      </c>
      <c r="C36" s="12" t="s">
        <v>47</v>
      </c>
      <c r="D36" s="12" t="s">
        <v>48</v>
      </c>
      <c r="E36" s="12" t="s">
        <v>49</v>
      </c>
      <c r="F36" s="12" t="s">
        <v>95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f>2400000</f>
        <v>2400000</v>
      </c>
      <c r="L36" s="15">
        <f>100000+51979.2</f>
        <v>151979.20000000001</v>
      </c>
      <c r="M36" s="15">
        <v>51979.199999999997</v>
      </c>
      <c r="N36" s="16">
        <f t="shared" si="6"/>
        <v>2500000</v>
      </c>
      <c r="O36" s="17"/>
      <c r="P36" s="17"/>
      <c r="Q36" s="17"/>
      <c r="R36" s="16">
        <f t="shared" si="7"/>
        <v>2500000</v>
      </c>
      <c r="S36" s="27">
        <f>176670+1518800.86+295004+134523.23+51979.2</f>
        <v>2176977.2900000005</v>
      </c>
      <c r="T36" s="18">
        <f t="shared" si="8"/>
        <v>0.87079091600000025</v>
      </c>
      <c r="U36" s="41">
        <f>176670+232000+295004+4500+51979.2</f>
        <v>760153.2</v>
      </c>
      <c r="V36" s="18">
        <f t="shared" si="9"/>
        <v>0.30406127999999999</v>
      </c>
      <c r="W36" s="15">
        <f>176670+232000+295004+4500+51979.2</f>
        <v>760153.2</v>
      </c>
      <c r="X36" s="18">
        <f t="shared" si="10"/>
        <v>0.30406127999999999</v>
      </c>
      <c r="Y36" s="1"/>
      <c r="Z36" s="1"/>
      <c r="AA36" s="1"/>
    </row>
    <row r="37" spans="1:27" ht="60" customHeight="1">
      <c r="A37" s="11" t="s">
        <v>84</v>
      </c>
      <c r="B37" s="12" t="s">
        <v>85</v>
      </c>
      <c r="C37" s="12" t="s">
        <v>47</v>
      </c>
      <c r="D37" s="12" t="s">
        <v>54</v>
      </c>
      <c r="E37" s="12" t="s">
        <v>49</v>
      </c>
      <c r="F37" s="12" t="s">
        <v>96</v>
      </c>
      <c r="G37" s="12" t="s">
        <v>51</v>
      </c>
      <c r="H37" s="12" t="s">
        <v>88</v>
      </c>
      <c r="I37" s="12" t="s">
        <v>89</v>
      </c>
      <c r="J37" s="13">
        <v>3</v>
      </c>
      <c r="K37" s="24">
        <v>100000</v>
      </c>
      <c r="L37" s="14">
        <v>0</v>
      </c>
      <c r="M37" s="14">
        <v>100000</v>
      </c>
      <c r="N37" s="43">
        <f t="shared" si="6"/>
        <v>0</v>
      </c>
      <c r="O37" s="44"/>
      <c r="P37" s="44"/>
      <c r="Q37" s="44"/>
      <c r="R37" s="43">
        <f t="shared" si="7"/>
        <v>0</v>
      </c>
      <c r="S37" s="14">
        <v>0</v>
      </c>
      <c r="T37" s="45">
        <f t="shared" si="8"/>
        <v>0</v>
      </c>
      <c r="U37" s="19">
        <v>0</v>
      </c>
      <c r="V37" s="45">
        <f t="shared" si="9"/>
        <v>0</v>
      </c>
      <c r="W37" s="14">
        <v>0</v>
      </c>
      <c r="X37" s="45">
        <f t="shared" si="10"/>
        <v>0</v>
      </c>
      <c r="Y37" s="1"/>
      <c r="Z37" s="1"/>
      <c r="AA37" s="1"/>
    </row>
    <row r="38" spans="1:27" ht="60" customHeight="1">
      <c r="A38" s="11" t="s">
        <v>84</v>
      </c>
      <c r="B38" s="12" t="s">
        <v>85</v>
      </c>
      <c r="C38" s="12" t="s">
        <v>47</v>
      </c>
      <c r="D38" s="12" t="s">
        <v>54</v>
      </c>
      <c r="E38" s="12" t="s">
        <v>49</v>
      </c>
      <c r="F38" s="12" t="s">
        <v>96</v>
      </c>
      <c r="G38" s="12" t="s">
        <v>51</v>
      </c>
      <c r="H38" s="55" t="s">
        <v>121</v>
      </c>
      <c r="I38" s="12" t="s">
        <v>89</v>
      </c>
      <c r="J38" s="13">
        <v>3</v>
      </c>
      <c r="K38" s="24">
        <v>0</v>
      </c>
      <c r="L38" s="14">
        <v>14063766.43</v>
      </c>
      <c r="M38" s="14">
        <v>0</v>
      </c>
      <c r="N38" s="43">
        <f t="shared" si="6"/>
        <v>14063766.43</v>
      </c>
      <c r="O38" s="44"/>
      <c r="P38" s="44"/>
      <c r="Q38" s="44"/>
      <c r="R38" s="43">
        <f t="shared" si="7"/>
        <v>14063766.43</v>
      </c>
      <c r="S38" s="14">
        <v>9589807.0899999999</v>
      </c>
      <c r="T38" s="45">
        <f t="shared" si="8"/>
        <v>0.68188042923861325</v>
      </c>
      <c r="U38" s="19">
        <v>2628849.0099999998</v>
      </c>
      <c r="V38" s="45">
        <f t="shared" si="9"/>
        <v>0.18692354022548993</v>
      </c>
      <c r="W38" s="14">
        <v>0</v>
      </c>
      <c r="X38" s="45">
        <f t="shared" si="10"/>
        <v>0</v>
      </c>
      <c r="Y38" s="1"/>
      <c r="Z38" s="1"/>
      <c r="AA38" s="1"/>
    </row>
    <row r="39" spans="1:27" ht="60" customHeight="1">
      <c r="A39" s="11" t="s">
        <v>84</v>
      </c>
      <c r="B39" s="12" t="s">
        <v>85</v>
      </c>
      <c r="C39" s="12" t="s">
        <v>47</v>
      </c>
      <c r="D39" s="12" t="s">
        <v>97</v>
      </c>
      <c r="E39" s="12" t="s">
        <v>59</v>
      </c>
      <c r="F39" s="12" t="s">
        <v>98</v>
      </c>
      <c r="G39" s="12" t="s">
        <v>51</v>
      </c>
      <c r="H39" s="12" t="s">
        <v>88</v>
      </c>
      <c r="I39" s="12" t="s">
        <v>89</v>
      </c>
      <c r="J39" s="39">
        <v>4</v>
      </c>
      <c r="K39" s="24">
        <v>1000000</v>
      </c>
      <c r="L39" s="14">
        <v>0</v>
      </c>
      <c r="M39" s="14">
        <v>1000000</v>
      </c>
      <c r="N39" s="43">
        <f t="shared" si="6"/>
        <v>0</v>
      </c>
      <c r="O39" s="44"/>
      <c r="P39" s="44"/>
      <c r="Q39" s="44"/>
      <c r="R39" s="43">
        <f t="shared" si="7"/>
        <v>0</v>
      </c>
      <c r="S39" s="40">
        <v>0</v>
      </c>
      <c r="T39" s="45">
        <f t="shared" si="8"/>
        <v>0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 ht="60" customHeight="1">
      <c r="A40" s="11" t="s">
        <v>84</v>
      </c>
      <c r="B40" s="12" t="s">
        <v>85</v>
      </c>
      <c r="C40" s="12" t="s">
        <v>47</v>
      </c>
      <c r="D40" s="12" t="s">
        <v>99</v>
      </c>
      <c r="E40" s="12" t="s">
        <v>59</v>
      </c>
      <c r="F40" s="12" t="s">
        <v>98</v>
      </c>
      <c r="G40" s="12" t="s">
        <v>51</v>
      </c>
      <c r="H40" s="12" t="s">
        <v>88</v>
      </c>
      <c r="I40" s="12" t="s">
        <v>89</v>
      </c>
      <c r="J40" s="39">
        <v>4</v>
      </c>
      <c r="K40" s="24">
        <v>0</v>
      </c>
      <c r="L40" s="14">
        <v>11166917.65</v>
      </c>
      <c r="M40" s="14">
        <v>0</v>
      </c>
      <c r="N40" s="43">
        <f t="shared" si="6"/>
        <v>11166917.65</v>
      </c>
      <c r="O40" s="44"/>
      <c r="P40" s="44"/>
      <c r="Q40" s="44"/>
      <c r="R40" s="43">
        <f t="shared" si="7"/>
        <v>11166917.65</v>
      </c>
      <c r="S40" s="40">
        <v>6556049.8399999999</v>
      </c>
      <c r="T40" s="45">
        <f t="shared" si="8"/>
        <v>0.58709574526145092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60" customHeight="1">
      <c r="A41" s="11" t="s">
        <v>84</v>
      </c>
      <c r="B41" s="12" t="s">
        <v>85</v>
      </c>
      <c r="C41" s="12" t="s">
        <v>47</v>
      </c>
      <c r="D41" s="12" t="s">
        <v>100</v>
      </c>
      <c r="E41" s="12" t="s">
        <v>59</v>
      </c>
      <c r="F41" s="12" t="s">
        <v>101</v>
      </c>
      <c r="G41" s="12" t="s">
        <v>51</v>
      </c>
      <c r="H41" s="12" t="s">
        <v>88</v>
      </c>
      <c r="I41" s="12" t="s">
        <v>89</v>
      </c>
      <c r="J41" s="39">
        <v>4</v>
      </c>
      <c r="K41" s="24">
        <v>120600</v>
      </c>
      <c r="L41" s="14">
        <v>0</v>
      </c>
      <c r="M41" s="14">
        <v>0</v>
      </c>
      <c r="N41" s="43">
        <f t="shared" si="6"/>
        <v>120600</v>
      </c>
      <c r="O41" s="44"/>
      <c r="P41" s="44"/>
      <c r="Q41" s="44"/>
      <c r="R41" s="43">
        <f t="shared" si="7"/>
        <v>120600</v>
      </c>
      <c r="S41" s="40">
        <v>0</v>
      </c>
      <c r="T41" s="45">
        <f t="shared" si="8"/>
        <v>0</v>
      </c>
      <c r="U41" s="41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 ht="60" customHeight="1">
      <c r="A42" s="11" t="s">
        <v>84</v>
      </c>
      <c r="B42" s="12" t="s">
        <v>85</v>
      </c>
      <c r="C42" s="12" t="s">
        <v>47</v>
      </c>
      <c r="D42" s="12" t="s">
        <v>102</v>
      </c>
      <c r="E42" s="12" t="s">
        <v>59</v>
      </c>
      <c r="F42" s="12" t="s">
        <v>103</v>
      </c>
      <c r="G42" s="12" t="s">
        <v>51</v>
      </c>
      <c r="H42" s="12" t="s">
        <v>88</v>
      </c>
      <c r="I42" s="12" t="s">
        <v>89</v>
      </c>
      <c r="J42" s="13">
        <v>3</v>
      </c>
      <c r="K42" s="24">
        <v>500000</v>
      </c>
      <c r="L42" s="14">
        <v>600000</v>
      </c>
      <c r="M42" s="14">
        <v>0</v>
      </c>
      <c r="N42" s="43">
        <f t="shared" si="6"/>
        <v>1100000</v>
      </c>
      <c r="O42" s="44"/>
      <c r="P42" s="44"/>
      <c r="Q42" s="44"/>
      <c r="R42" s="43">
        <f t="shared" si="7"/>
        <v>1100000</v>
      </c>
      <c r="S42" s="40">
        <v>1100000</v>
      </c>
      <c r="T42" s="45">
        <f t="shared" si="8"/>
        <v>1</v>
      </c>
      <c r="U42" s="46">
        <v>485000</v>
      </c>
      <c r="V42" s="45">
        <f t="shared" si="9"/>
        <v>0.44090909090909092</v>
      </c>
      <c r="W42" s="14">
        <v>485000</v>
      </c>
      <c r="X42" s="45">
        <f t="shared" si="10"/>
        <v>0.44090909090909092</v>
      </c>
      <c r="Y42" s="1"/>
      <c r="Z42" s="1"/>
      <c r="AA42" s="1"/>
    </row>
    <row r="43" spans="1:27" ht="60" customHeight="1">
      <c r="A43" s="11" t="s">
        <v>84</v>
      </c>
      <c r="B43" s="12" t="s">
        <v>85</v>
      </c>
      <c r="C43" s="12" t="s">
        <v>47</v>
      </c>
      <c r="D43" s="12" t="s">
        <v>58</v>
      </c>
      <c r="E43" s="12" t="s">
        <v>59</v>
      </c>
      <c r="F43" s="12" t="s">
        <v>60</v>
      </c>
      <c r="G43" s="12" t="s">
        <v>51</v>
      </c>
      <c r="H43" s="12" t="s">
        <v>88</v>
      </c>
      <c r="I43" s="12" t="s">
        <v>89</v>
      </c>
      <c r="J43" s="13">
        <v>3</v>
      </c>
      <c r="K43" s="24">
        <v>50000</v>
      </c>
      <c r="L43" s="15">
        <v>0</v>
      </c>
      <c r="M43" s="15">
        <v>0</v>
      </c>
      <c r="N43" s="16">
        <f t="shared" si="6"/>
        <v>50000</v>
      </c>
      <c r="O43" s="17"/>
      <c r="P43" s="17"/>
      <c r="Q43" s="17"/>
      <c r="R43" s="16">
        <f t="shared" si="7"/>
        <v>50000</v>
      </c>
      <c r="S43" s="40">
        <v>0</v>
      </c>
      <c r="T43" s="18">
        <f t="shared" si="8"/>
        <v>0</v>
      </c>
      <c r="U43" s="19">
        <v>0</v>
      </c>
      <c r="V43" s="18">
        <f t="shared" si="9"/>
        <v>0</v>
      </c>
      <c r="W43" s="15">
        <v>0</v>
      </c>
      <c r="X43" s="18">
        <f t="shared" si="10"/>
        <v>0</v>
      </c>
      <c r="Y43" s="1"/>
      <c r="Z43" s="1"/>
      <c r="AA43" s="1"/>
    </row>
    <row r="44" spans="1:27" ht="60" customHeight="1">
      <c r="A44" s="11" t="s">
        <v>84</v>
      </c>
      <c r="B44" s="12" t="s">
        <v>85</v>
      </c>
      <c r="C44" s="12" t="s">
        <v>47</v>
      </c>
      <c r="D44" s="12" t="s">
        <v>58</v>
      </c>
      <c r="E44" s="12" t="s">
        <v>59</v>
      </c>
      <c r="F44" s="12" t="s">
        <v>60</v>
      </c>
      <c r="G44" s="12" t="s">
        <v>51</v>
      </c>
      <c r="H44" s="55" t="s">
        <v>121</v>
      </c>
      <c r="I44" s="12" t="s">
        <v>89</v>
      </c>
      <c r="J44" s="13">
        <v>3</v>
      </c>
      <c r="K44" s="24">
        <v>0</v>
      </c>
      <c r="L44" s="15">
        <v>505750</v>
      </c>
      <c r="M44" s="15">
        <v>0</v>
      </c>
      <c r="N44" s="16">
        <f t="shared" si="6"/>
        <v>505750</v>
      </c>
      <c r="O44" s="17"/>
      <c r="P44" s="17"/>
      <c r="Q44" s="17"/>
      <c r="R44" s="16">
        <f t="shared" si="7"/>
        <v>505750</v>
      </c>
      <c r="S44" s="40">
        <v>231891.84</v>
      </c>
      <c r="T44" s="18">
        <f t="shared" si="8"/>
        <v>0.45851080573405834</v>
      </c>
      <c r="U44" s="19">
        <v>88344.14</v>
      </c>
      <c r="V44" s="18">
        <f t="shared" si="9"/>
        <v>0.17467946613939694</v>
      </c>
      <c r="W44" s="15">
        <v>0</v>
      </c>
      <c r="X44" s="18">
        <f t="shared" si="10"/>
        <v>0</v>
      </c>
      <c r="Y44" s="1"/>
      <c r="Z44" s="1"/>
      <c r="AA44" s="1"/>
    </row>
    <row r="45" spans="1:27" ht="60" customHeight="1">
      <c r="A45" s="11" t="s">
        <v>84</v>
      </c>
      <c r="B45" s="12" t="s">
        <v>85</v>
      </c>
      <c r="C45" s="12" t="s">
        <v>47</v>
      </c>
      <c r="D45" s="12" t="s">
        <v>61</v>
      </c>
      <c r="E45" s="12" t="s">
        <v>59</v>
      </c>
      <c r="F45" s="12" t="s">
        <v>62</v>
      </c>
      <c r="G45" s="12" t="s">
        <v>51</v>
      </c>
      <c r="H45" s="12" t="s">
        <v>88</v>
      </c>
      <c r="I45" s="12" t="s">
        <v>89</v>
      </c>
      <c r="J45" s="13">
        <v>3</v>
      </c>
      <c r="K45" s="42">
        <f>54121000-K46</f>
        <v>53911000</v>
      </c>
      <c r="L45" s="15">
        <v>583264.36</v>
      </c>
      <c r="M45" s="15">
        <v>583264.36</v>
      </c>
      <c r="N45" s="16">
        <f t="shared" si="6"/>
        <v>53911000</v>
      </c>
      <c r="O45" s="17"/>
      <c r="P45" s="17"/>
      <c r="Q45" s="17"/>
      <c r="R45" s="16">
        <f t="shared" si="7"/>
        <v>53911000</v>
      </c>
      <c r="S45" s="15">
        <f>35142680.16-S46</f>
        <v>35094492.659999996</v>
      </c>
      <c r="T45" s="18">
        <f t="shared" si="8"/>
        <v>0.65097090871992724</v>
      </c>
      <c r="U45" s="19">
        <f>21559867.62-U46</f>
        <v>21519279.84</v>
      </c>
      <c r="V45" s="18">
        <f t="shared" si="9"/>
        <v>0.39916306208380481</v>
      </c>
      <c r="W45" s="15">
        <f>21285490.85-W46</f>
        <v>21244903.07</v>
      </c>
      <c r="X45" s="18">
        <f t="shared" si="10"/>
        <v>0.39407362263730966</v>
      </c>
      <c r="Y45" s="1"/>
      <c r="Z45" s="1"/>
      <c r="AA45" s="1"/>
    </row>
    <row r="46" spans="1:27" ht="60" customHeight="1">
      <c r="A46" s="11" t="s">
        <v>84</v>
      </c>
      <c r="B46" s="12" t="s">
        <v>85</v>
      </c>
      <c r="C46" s="12" t="s">
        <v>47</v>
      </c>
      <c r="D46" s="12" t="s">
        <v>61</v>
      </c>
      <c r="E46" s="12" t="s">
        <v>59</v>
      </c>
      <c r="F46" s="12" t="s">
        <v>62</v>
      </c>
      <c r="G46" s="12" t="s">
        <v>51</v>
      </c>
      <c r="H46" s="12" t="s">
        <v>88</v>
      </c>
      <c r="I46" s="12" t="s">
        <v>89</v>
      </c>
      <c r="J46" s="39">
        <v>4</v>
      </c>
      <c r="K46" s="24">
        <f>210000</f>
        <v>210000</v>
      </c>
      <c r="L46" s="15">
        <v>0</v>
      </c>
      <c r="M46" s="15">
        <v>0</v>
      </c>
      <c r="N46" s="16">
        <f t="shared" si="6"/>
        <v>210000</v>
      </c>
      <c r="O46" s="17"/>
      <c r="P46" s="17"/>
      <c r="Q46" s="17"/>
      <c r="R46" s="16">
        <f t="shared" si="7"/>
        <v>210000</v>
      </c>
      <c r="S46" s="15">
        <f>11873.28+28714.5+7599.72</f>
        <v>48187.5</v>
      </c>
      <c r="T46" s="18">
        <f t="shared" si="8"/>
        <v>0.2294642857142857</v>
      </c>
      <c r="U46" s="41">
        <f>11873.28+28714.5</f>
        <v>40587.78</v>
      </c>
      <c r="V46" s="18">
        <f t="shared" si="9"/>
        <v>0.19327514285714284</v>
      </c>
      <c r="W46" s="15">
        <f>11873.28+28714.5</f>
        <v>40587.78</v>
      </c>
      <c r="X46" s="18">
        <f t="shared" si="10"/>
        <v>0.19327514285714284</v>
      </c>
      <c r="Y46" s="1"/>
      <c r="Z46" s="1"/>
      <c r="AA46" s="1"/>
    </row>
    <row r="47" spans="1:27" ht="60" customHeight="1">
      <c r="A47" s="11" t="s">
        <v>84</v>
      </c>
      <c r="B47" s="30" t="s">
        <v>85</v>
      </c>
      <c r="C47" s="30" t="s">
        <v>47</v>
      </c>
      <c r="D47" s="30" t="s">
        <v>104</v>
      </c>
      <c r="E47" s="12" t="s">
        <v>59</v>
      </c>
      <c r="F47" s="30" t="s">
        <v>105</v>
      </c>
      <c r="G47" s="30" t="s">
        <v>51</v>
      </c>
      <c r="H47" s="30" t="s">
        <v>88</v>
      </c>
      <c r="I47" s="12" t="s">
        <v>89</v>
      </c>
      <c r="J47" s="13">
        <v>3</v>
      </c>
      <c r="K47" s="24">
        <v>960000</v>
      </c>
      <c r="L47" s="15">
        <v>60000</v>
      </c>
      <c r="M47" s="15">
        <v>60000</v>
      </c>
      <c r="N47" s="16">
        <f t="shared" si="6"/>
        <v>960000</v>
      </c>
      <c r="O47" s="17"/>
      <c r="P47" s="17"/>
      <c r="Q47" s="17"/>
      <c r="R47" s="16">
        <f t="shared" si="7"/>
        <v>960000</v>
      </c>
      <c r="S47" s="14">
        <v>247217.87</v>
      </c>
      <c r="T47" s="18">
        <f t="shared" si="8"/>
        <v>0.25751861458333331</v>
      </c>
      <c r="U47" s="19">
        <v>247217.87</v>
      </c>
      <c r="V47" s="18">
        <f t="shared" si="9"/>
        <v>0.25751861458333331</v>
      </c>
      <c r="W47" s="15">
        <v>247217.87</v>
      </c>
      <c r="X47" s="18">
        <f t="shared" si="10"/>
        <v>0.25751861458333331</v>
      </c>
      <c r="Y47" s="1"/>
      <c r="Z47" s="1"/>
      <c r="AA47" s="1"/>
    </row>
    <row r="48" spans="1:27" ht="60" customHeight="1">
      <c r="A48" s="11" t="s">
        <v>84</v>
      </c>
      <c r="B48" s="30" t="s">
        <v>85</v>
      </c>
      <c r="C48" s="30" t="s">
        <v>47</v>
      </c>
      <c r="D48" s="30" t="s">
        <v>67</v>
      </c>
      <c r="E48" s="12" t="s">
        <v>59</v>
      </c>
      <c r="F48" s="30" t="s">
        <v>68</v>
      </c>
      <c r="G48" s="30" t="s">
        <v>51</v>
      </c>
      <c r="H48" s="30" t="s">
        <v>88</v>
      </c>
      <c r="I48" s="12" t="s">
        <v>89</v>
      </c>
      <c r="J48" s="13">
        <v>3</v>
      </c>
      <c r="K48" s="24">
        <v>50000</v>
      </c>
      <c r="L48" s="15">
        <v>0</v>
      </c>
      <c r="M48" s="15">
        <v>0</v>
      </c>
      <c r="N48" s="16">
        <f t="shared" si="6"/>
        <v>50000</v>
      </c>
      <c r="O48" s="17"/>
      <c r="P48" s="17"/>
      <c r="Q48" s="17"/>
      <c r="R48" s="16">
        <f t="shared" si="7"/>
        <v>50000</v>
      </c>
      <c r="S48" s="14">
        <v>0</v>
      </c>
      <c r="T48" s="18">
        <f t="shared" si="8"/>
        <v>0</v>
      </c>
      <c r="U48" s="19">
        <v>0</v>
      </c>
      <c r="V48" s="18">
        <f t="shared" si="9"/>
        <v>0</v>
      </c>
      <c r="W48" s="15">
        <v>0</v>
      </c>
      <c r="X48" s="18">
        <f t="shared" si="10"/>
        <v>0</v>
      </c>
      <c r="Y48" s="1"/>
      <c r="Z48" s="1"/>
      <c r="AA48" s="1"/>
    </row>
    <row r="49" spans="1:27" ht="60" customHeight="1">
      <c r="A49" s="11" t="s">
        <v>84</v>
      </c>
      <c r="B49" s="30" t="s">
        <v>85</v>
      </c>
      <c r="C49" s="30" t="s">
        <v>47</v>
      </c>
      <c r="D49" s="30" t="s">
        <v>67</v>
      </c>
      <c r="E49" s="12" t="s">
        <v>59</v>
      </c>
      <c r="F49" s="30" t="s">
        <v>68</v>
      </c>
      <c r="G49" s="30" t="s">
        <v>51</v>
      </c>
      <c r="H49" s="56" t="s">
        <v>121</v>
      </c>
      <c r="I49" s="12" t="s">
        <v>89</v>
      </c>
      <c r="J49" s="13">
        <v>3</v>
      </c>
      <c r="K49" s="24">
        <v>0</v>
      </c>
      <c r="L49" s="15">
        <v>180000</v>
      </c>
      <c r="M49" s="15">
        <v>0</v>
      </c>
      <c r="N49" s="16">
        <f t="shared" si="6"/>
        <v>180000</v>
      </c>
      <c r="O49" s="17"/>
      <c r="P49" s="17"/>
      <c r="Q49" s="17"/>
      <c r="R49" s="16">
        <f t="shared" si="7"/>
        <v>180000</v>
      </c>
      <c r="S49" s="14">
        <v>105557.3</v>
      </c>
      <c r="T49" s="18">
        <f t="shared" si="8"/>
        <v>0.58642944444444445</v>
      </c>
      <c r="U49" s="19">
        <v>55512.46</v>
      </c>
      <c r="V49" s="18">
        <f t="shared" si="9"/>
        <v>0.30840255555555557</v>
      </c>
      <c r="W49" s="15">
        <v>0</v>
      </c>
      <c r="X49" s="18">
        <f t="shared" si="10"/>
        <v>0</v>
      </c>
      <c r="Y49" s="1"/>
      <c r="Z49" s="1"/>
      <c r="AA49" s="1"/>
    </row>
    <row r="50" spans="1:27" ht="60" customHeight="1">
      <c r="A50" s="11" t="s">
        <v>84</v>
      </c>
      <c r="B50" s="12" t="s">
        <v>85</v>
      </c>
      <c r="C50" s="12" t="s">
        <v>106</v>
      </c>
      <c r="D50" s="12" t="s">
        <v>107</v>
      </c>
      <c r="E50" s="12" t="s">
        <v>49</v>
      </c>
      <c r="F50" s="12" t="s">
        <v>108</v>
      </c>
      <c r="G50" s="12" t="s">
        <v>51</v>
      </c>
      <c r="H50" s="12" t="s">
        <v>88</v>
      </c>
      <c r="I50" s="12" t="s">
        <v>89</v>
      </c>
      <c r="J50" s="13">
        <v>3</v>
      </c>
      <c r="K50" s="42">
        <f>27694385-K51</f>
        <v>18636785</v>
      </c>
      <c r="L50" s="14">
        <f>8717845.7-L51</f>
        <v>4194960.9999999991</v>
      </c>
      <c r="M50" s="14">
        <v>50000</v>
      </c>
      <c r="N50" s="43">
        <f t="shared" si="6"/>
        <v>22781746</v>
      </c>
      <c r="O50" s="44"/>
      <c r="P50" s="44"/>
      <c r="Q50" s="44"/>
      <c r="R50" s="43">
        <f t="shared" si="7"/>
        <v>22781746</v>
      </c>
      <c r="S50" s="25">
        <f>33681424.22-S51</f>
        <v>20269390.52</v>
      </c>
      <c r="T50" s="45">
        <f t="shared" si="8"/>
        <v>0.88972067900326868</v>
      </c>
      <c r="U50" s="19">
        <f>7998331.07-U51</f>
        <v>7017810.3500000006</v>
      </c>
      <c r="V50" s="45">
        <f t="shared" si="9"/>
        <v>0.30804532497201931</v>
      </c>
      <c r="W50" s="14">
        <f>7650353.05-W51</f>
        <v>6669832.3300000001</v>
      </c>
      <c r="X50" s="45">
        <f t="shared" si="10"/>
        <v>0.29277090219511709</v>
      </c>
      <c r="Y50" s="1"/>
      <c r="Z50" s="1"/>
      <c r="AA50" s="1"/>
    </row>
    <row r="51" spans="1:27" ht="60" customHeight="1">
      <c r="A51" s="11" t="s">
        <v>84</v>
      </c>
      <c r="B51" s="30" t="s">
        <v>85</v>
      </c>
      <c r="C51" s="30" t="s">
        <v>106</v>
      </c>
      <c r="D51" s="30" t="s">
        <v>107</v>
      </c>
      <c r="E51" s="12" t="s">
        <v>49</v>
      </c>
      <c r="F51" s="12" t="s">
        <v>108</v>
      </c>
      <c r="G51" s="30" t="s">
        <v>51</v>
      </c>
      <c r="H51" s="30" t="s">
        <v>88</v>
      </c>
      <c r="I51" s="12" t="s">
        <v>89</v>
      </c>
      <c r="J51" s="39">
        <v>4</v>
      </c>
      <c r="K51" s="42">
        <f>4997500+4060100</f>
        <v>9057600</v>
      </c>
      <c r="L51" s="15">
        <f>674000+3848884.7</f>
        <v>4522884.7</v>
      </c>
      <c r="M51" s="14">
        <v>0</v>
      </c>
      <c r="N51" s="16">
        <f t="shared" si="6"/>
        <v>13580484.699999999</v>
      </c>
      <c r="O51" s="17"/>
      <c r="P51" s="17"/>
      <c r="Q51" s="17"/>
      <c r="R51" s="16">
        <f t="shared" si="7"/>
        <v>13580484.699999999</v>
      </c>
      <c r="S51" s="25">
        <f>3331666.64+2339833.36+1753884.7+7450+5979199</f>
        <v>13412033.699999999</v>
      </c>
      <c r="T51" s="18">
        <f t="shared" si="8"/>
        <v>0.98759609809803028</v>
      </c>
      <c r="U51" s="41">
        <f>249575.16+458670.56+264825+7450</f>
        <v>980520.72</v>
      </c>
      <c r="V51" s="18">
        <f t="shared" si="9"/>
        <v>7.2200716076061711E-2</v>
      </c>
      <c r="W51" s="15">
        <f>249575.16+458670.56+264825+7450</f>
        <v>980520.72</v>
      </c>
      <c r="X51" s="18">
        <f t="shared" si="10"/>
        <v>7.2200716076061711E-2</v>
      </c>
      <c r="Y51" s="1"/>
      <c r="Z51" s="1"/>
      <c r="AA51" s="1"/>
    </row>
    <row r="52" spans="1:27" ht="60" customHeight="1">
      <c r="A52" s="11" t="s">
        <v>84</v>
      </c>
      <c r="B52" s="30" t="s">
        <v>85</v>
      </c>
      <c r="C52" s="30" t="s">
        <v>106</v>
      </c>
      <c r="D52" s="30" t="s">
        <v>109</v>
      </c>
      <c r="E52" s="12" t="s">
        <v>59</v>
      </c>
      <c r="F52" s="30" t="s">
        <v>110</v>
      </c>
      <c r="G52" s="30" t="s">
        <v>51</v>
      </c>
      <c r="H52" s="30" t="s">
        <v>88</v>
      </c>
      <c r="I52" s="12" t="s">
        <v>89</v>
      </c>
      <c r="J52" s="13">
        <v>3</v>
      </c>
      <c r="K52" s="42">
        <f>11991900-K53</f>
        <v>11200000</v>
      </c>
      <c r="L52" s="15">
        <v>46607.24</v>
      </c>
      <c r="M52" s="15">
        <f>4865568.24-M53</f>
        <v>4191568.24</v>
      </c>
      <c r="N52" s="16">
        <f t="shared" si="6"/>
        <v>7055039</v>
      </c>
      <c r="O52" s="17"/>
      <c r="P52" s="17"/>
      <c r="Q52" s="17"/>
      <c r="R52" s="16">
        <f t="shared" si="7"/>
        <v>7055039</v>
      </c>
      <c r="S52" s="14">
        <v>6950424.7199999997</v>
      </c>
      <c r="T52" s="18">
        <f t="shared" si="8"/>
        <v>0.98517169359375611</v>
      </c>
      <c r="U52" s="19">
        <v>1157032.53</v>
      </c>
      <c r="V52" s="18">
        <f t="shared" si="9"/>
        <v>0.16400086944948142</v>
      </c>
      <c r="W52" s="15">
        <v>1064861.57</v>
      </c>
      <c r="X52" s="18">
        <f t="shared" si="10"/>
        <v>0.15093631232938615</v>
      </c>
      <c r="Y52" s="1"/>
      <c r="Z52" s="1"/>
      <c r="AA52" s="1"/>
    </row>
    <row r="53" spans="1:27" ht="60" customHeight="1">
      <c r="A53" s="11" t="s">
        <v>84</v>
      </c>
      <c r="B53" s="30" t="s">
        <v>85</v>
      </c>
      <c r="C53" s="30" t="s">
        <v>106</v>
      </c>
      <c r="D53" s="30" t="s">
        <v>109</v>
      </c>
      <c r="E53" s="12" t="s">
        <v>59</v>
      </c>
      <c r="F53" s="30" t="s">
        <v>110</v>
      </c>
      <c r="G53" s="30" t="s">
        <v>51</v>
      </c>
      <c r="H53" s="30" t="s">
        <v>88</v>
      </c>
      <c r="I53" s="12" t="s">
        <v>89</v>
      </c>
      <c r="J53" s="39">
        <v>4</v>
      </c>
      <c r="K53" s="42">
        <f>100000+691900</f>
        <v>791900</v>
      </c>
      <c r="L53" s="15">
        <v>0</v>
      </c>
      <c r="M53" s="15">
        <v>674000</v>
      </c>
      <c r="N53" s="16">
        <f t="shared" si="6"/>
        <v>117900</v>
      </c>
      <c r="O53" s="17"/>
      <c r="P53" s="17"/>
      <c r="Q53" s="17"/>
      <c r="R53" s="16">
        <f t="shared" si="7"/>
        <v>117900</v>
      </c>
      <c r="S53" s="14">
        <v>0</v>
      </c>
      <c r="T53" s="18">
        <f t="shared" si="8"/>
        <v>0</v>
      </c>
      <c r="U53" s="41">
        <v>0</v>
      </c>
      <c r="V53" s="18">
        <f t="shared" si="9"/>
        <v>0</v>
      </c>
      <c r="W53" s="15">
        <v>0</v>
      </c>
      <c r="X53" s="18">
        <f t="shared" si="10"/>
        <v>0</v>
      </c>
      <c r="Y53" s="1"/>
      <c r="Z53" s="1"/>
      <c r="AA53" s="1"/>
    </row>
    <row r="54" spans="1:27" ht="60" customHeight="1">
      <c r="A54" s="11" t="s">
        <v>84</v>
      </c>
      <c r="B54" s="30" t="s">
        <v>85</v>
      </c>
      <c r="C54" s="30" t="s">
        <v>69</v>
      </c>
      <c r="D54" s="30" t="s">
        <v>70</v>
      </c>
      <c r="E54" s="12" t="s">
        <v>59</v>
      </c>
      <c r="F54" s="30" t="s">
        <v>111</v>
      </c>
      <c r="G54" s="30" t="s">
        <v>51</v>
      </c>
      <c r="H54" s="30" t="s">
        <v>88</v>
      </c>
      <c r="I54" s="12" t="s">
        <v>89</v>
      </c>
      <c r="J54" s="13">
        <v>3</v>
      </c>
      <c r="K54" s="24">
        <v>1255215</v>
      </c>
      <c r="L54" s="15">
        <v>345420.72</v>
      </c>
      <c r="M54" s="15">
        <v>345420.72</v>
      </c>
      <c r="N54" s="16">
        <f t="shared" si="6"/>
        <v>1255215</v>
      </c>
      <c r="O54" s="17"/>
      <c r="P54" s="17"/>
      <c r="Q54" s="17"/>
      <c r="R54" s="16">
        <f t="shared" si="7"/>
        <v>1255215</v>
      </c>
      <c r="S54" s="14">
        <v>944086.69</v>
      </c>
      <c r="T54" s="18">
        <f t="shared" si="8"/>
        <v>0.75213145955075422</v>
      </c>
      <c r="U54" s="19">
        <v>222913.13</v>
      </c>
      <c r="V54" s="18">
        <f t="shared" si="9"/>
        <v>0.17758960018801559</v>
      </c>
      <c r="W54" s="15">
        <v>221380.01</v>
      </c>
      <c r="X54" s="18">
        <f t="shared" si="10"/>
        <v>0.17636819987014177</v>
      </c>
      <c r="Y54" s="1"/>
      <c r="Z54" s="1"/>
      <c r="AA54" s="1"/>
    </row>
    <row r="55" spans="1:27" ht="60" customHeight="1">
      <c r="A55" s="11" t="s">
        <v>84</v>
      </c>
      <c r="B55" s="30" t="s">
        <v>85</v>
      </c>
      <c r="C55" s="30" t="s">
        <v>69</v>
      </c>
      <c r="D55" s="30" t="s">
        <v>112</v>
      </c>
      <c r="E55" s="12" t="s">
        <v>59</v>
      </c>
      <c r="F55" s="30" t="s">
        <v>73</v>
      </c>
      <c r="G55" s="30" t="s">
        <v>51</v>
      </c>
      <c r="H55" s="30" t="s">
        <v>113</v>
      </c>
      <c r="I55" s="30" t="s">
        <v>114</v>
      </c>
      <c r="J55" s="47">
        <v>3</v>
      </c>
      <c r="K55" s="24">
        <v>1175000</v>
      </c>
      <c r="L55" s="15">
        <v>153960</v>
      </c>
      <c r="M55" s="15">
        <v>153960</v>
      </c>
      <c r="N55" s="16">
        <f t="shared" si="6"/>
        <v>1175000</v>
      </c>
      <c r="O55" s="17"/>
      <c r="P55" s="17"/>
      <c r="Q55" s="17"/>
      <c r="R55" s="16">
        <f t="shared" si="7"/>
        <v>1175000</v>
      </c>
      <c r="S55" s="14">
        <v>610788</v>
      </c>
      <c r="T55" s="18">
        <f t="shared" si="8"/>
        <v>0.51981957446808513</v>
      </c>
      <c r="U55" s="19">
        <v>273889</v>
      </c>
      <c r="V55" s="18">
        <f t="shared" si="9"/>
        <v>0.23309702127659573</v>
      </c>
      <c r="W55" s="15">
        <v>269514.84999999998</v>
      </c>
      <c r="X55" s="18">
        <f t="shared" si="10"/>
        <v>0.2293743404255319</v>
      </c>
      <c r="Y55" s="1"/>
      <c r="Z55" s="1"/>
      <c r="AA55" s="1"/>
    </row>
    <row r="56" spans="1:27" ht="60" customHeight="1">
      <c r="A56" s="11" t="s">
        <v>84</v>
      </c>
      <c r="B56" s="30" t="s">
        <v>85</v>
      </c>
      <c r="C56" s="30" t="s">
        <v>69</v>
      </c>
      <c r="D56" s="30" t="s">
        <v>112</v>
      </c>
      <c r="E56" s="12" t="s">
        <v>59</v>
      </c>
      <c r="F56" s="30" t="s">
        <v>73</v>
      </c>
      <c r="G56" s="30" t="s">
        <v>51</v>
      </c>
      <c r="H56" s="56" t="s">
        <v>122</v>
      </c>
      <c r="I56" s="30" t="s">
        <v>114</v>
      </c>
      <c r="J56" s="39">
        <v>4</v>
      </c>
      <c r="K56" s="24">
        <v>0</v>
      </c>
      <c r="L56" s="15">
        <v>6000</v>
      </c>
      <c r="M56" s="15">
        <v>0</v>
      </c>
      <c r="N56" s="16">
        <f t="shared" si="6"/>
        <v>6000</v>
      </c>
      <c r="O56" s="17"/>
      <c r="P56" s="17"/>
      <c r="Q56" s="17"/>
      <c r="R56" s="16">
        <f t="shared" si="7"/>
        <v>6000</v>
      </c>
      <c r="S56" s="14">
        <v>0</v>
      </c>
      <c r="T56" s="18">
        <f t="shared" si="8"/>
        <v>0</v>
      </c>
      <c r="U56" s="82">
        <v>0</v>
      </c>
      <c r="V56" s="18">
        <f t="shared" si="9"/>
        <v>0</v>
      </c>
      <c r="W56" s="15">
        <v>0</v>
      </c>
      <c r="X56" s="18">
        <f t="shared" si="10"/>
        <v>0</v>
      </c>
      <c r="Y56" s="1"/>
      <c r="Z56" s="1"/>
      <c r="AA56" s="1"/>
    </row>
    <row r="57" spans="1:27">
      <c r="A57" s="75" t="s">
        <v>115</v>
      </c>
      <c r="B57" s="59"/>
      <c r="C57" s="59"/>
      <c r="D57" s="59"/>
      <c r="E57" s="59"/>
      <c r="F57" s="59"/>
      <c r="G57" s="59"/>
      <c r="H57" s="59"/>
      <c r="I57" s="59"/>
      <c r="J57" s="60"/>
      <c r="K57" s="31">
        <f t="shared" ref="K57:S57" si="11">SUM(K30:K56)</f>
        <v>268375000</v>
      </c>
      <c r="L57" s="31">
        <f t="shared" si="11"/>
        <v>53645771.660000004</v>
      </c>
      <c r="M57" s="31">
        <f t="shared" si="11"/>
        <v>38890255.229999997</v>
      </c>
      <c r="N57" s="31">
        <f t="shared" si="11"/>
        <v>283130516.43000001</v>
      </c>
      <c r="O57" s="31">
        <f t="shared" si="11"/>
        <v>0</v>
      </c>
      <c r="P57" s="31">
        <f t="shared" si="11"/>
        <v>0</v>
      </c>
      <c r="Q57" s="31">
        <f t="shared" si="11"/>
        <v>0</v>
      </c>
      <c r="R57" s="31">
        <f t="shared" si="11"/>
        <v>283130516.43000001</v>
      </c>
      <c r="S57" s="31">
        <f t="shared" si="11"/>
        <v>195578818.83000001</v>
      </c>
      <c r="T57" s="32">
        <f t="shared" si="8"/>
        <v>0.69077265600352233</v>
      </c>
      <c r="U57" s="31">
        <f>SUM(U30:U56)</f>
        <v>73528919.949999988</v>
      </c>
      <c r="V57" s="32">
        <f t="shared" si="9"/>
        <v>0.25969973451512057</v>
      </c>
      <c r="W57" s="31">
        <f>SUM(W30:W56)</f>
        <v>69531393.299999997</v>
      </c>
      <c r="X57" s="32">
        <f t="shared" si="10"/>
        <v>0.24558071018526414</v>
      </c>
      <c r="Y57" s="1"/>
      <c r="Z57" s="1"/>
      <c r="AA57" s="1"/>
    </row>
    <row r="58" spans="1:27">
      <c r="A58" s="76" t="s">
        <v>116</v>
      </c>
      <c r="B58" s="59"/>
      <c r="C58" s="59"/>
      <c r="D58" s="59"/>
      <c r="E58" s="59"/>
      <c r="F58" s="59"/>
      <c r="G58" s="59"/>
      <c r="H58" s="59"/>
      <c r="I58" s="59"/>
      <c r="J58" s="60"/>
      <c r="K58" s="48">
        <f t="shared" ref="K58:S58" si="12">SUM(K27+K57)</f>
        <v>1368008000</v>
      </c>
      <c r="L58" s="48">
        <f t="shared" si="12"/>
        <v>90790275.620000005</v>
      </c>
      <c r="M58" s="48">
        <f t="shared" si="12"/>
        <v>76034759.189999998</v>
      </c>
      <c r="N58" s="48">
        <f t="shared" si="12"/>
        <v>1382763516.4300003</v>
      </c>
      <c r="O58" s="48">
        <f t="shared" si="12"/>
        <v>0</v>
      </c>
      <c r="P58" s="48">
        <f t="shared" si="12"/>
        <v>0</v>
      </c>
      <c r="Q58" s="48">
        <f t="shared" si="12"/>
        <v>29604132.579999998</v>
      </c>
      <c r="R58" s="48">
        <f t="shared" si="12"/>
        <v>1412367649.0100002</v>
      </c>
      <c r="S58" s="48">
        <f t="shared" si="12"/>
        <v>747079138.9799999</v>
      </c>
      <c r="T58" s="49">
        <f t="shared" si="8"/>
        <v>0.52895514811859745</v>
      </c>
      <c r="U58" s="48">
        <f>SUM(U27+U57)</f>
        <v>593737632.33999991</v>
      </c>
      <c r="V58" s="49">
        <f t="shared" si="9"/>
        <v>0.42038461639657393</v>
      </c>
      <c r="W58" s="48">
        <f>SUM(W27+W57)</f>
        <v>564704591.19999993</v>
      </c>
      <c r="X58" s="49">
        <f t="shared" si="10"/>
        <v>0.39982832486699188</v>
      </c>
      <c r="Y58" s="21"/>
      <c r="Z58" s="1"/>
      <c r="AA58" s="1"/>
    </row>
    <row r="59" spans="1:27">
      <c r="A59" s="50" t="s">
        <v>117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  <c r="N59" s="57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1"/>
      <c r="Z59" s="1"/>
      <c r="AA59" s="1"/>
    </row>
    <row r="60" spans="1:27">
      <c r="A60" s="50" t="s">
        <v>118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/>
      <c r="N60" s="57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1"/>
      <c r="Z60" s="54"/>
      <c r="AA60" s="1"/>
    </row>
    <row r="61" spans="1:27" ht="14.25">
      <c r="A61" s="77" t="s">
        <v>119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60"/>
      <c r="N61" s="57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1"/>
      <c r="Z61" s="54"/>
      <c r="AA61" s="1"/>
    </row>
    <row r="62" spans="1:27" ht="14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</sheetData>
  <mergeCells count="28">
    <mergeCell ref="A11:J11"/>
    <mergeCell ref="A12:B12"/>
    <mergeCell ref="C12:C13"/>
    <mergeCell ref="D12:D13"/>
    <mergeCell ref="E12:F12"/>
    <mergeCell ref="G12:G13"/>
    <mergeCell ref="H12:I12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7:J57"/>
    <mergeCell ref="A58:J58"/>
    <mergeCell ref="A61:M61"/>
    <mergeCell ref="A6:F6"/>
    <mergeCell ref="A7:F7"/>
    <mergeCell ref="P11:Q11"/>
    <mergeCell ref="R11:R12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2025-07-11T14:45:39Z</dcterms:modified>
</cp:coreProperties>
</file>