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Rogeria Azevedo\Downloads\"/>
    </mc:Choice>
  </mc:AlternateContent>
  <xr:revisionPtr revIDLastSave="0" documentId="13_ncr:1_{3A8E46F9-41BD-45E3-85D6-8E24B68F1E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UNHO 2024" sheetId="30" r:id="rId1"/>
  </sheets>
  <definedNames>
    <definedName name="_xlnm.Print_Area" localSheetId="0">'JUNHO 2024'!$A$1:$X$74</definedName>
  </definedNames>
  <calcPr calcId="191029"/>
  <extLst>
    <ext uri="GoogleSheetsCustomDataVersion2">
      <go:sheetsCustomData xmlns:go="http://customooxmlschemas.google.com/" r:id="rId34" roundtripDataChecksum="MxB7DCZQdRwLxseuC3prvh+sTi/uc/Ph/31cw7Kbx24="/>
    </ext>
  </extLst>
</workbook>
</file>

<file path=xl/calcChain.xml><?xml version="1.0" encoding="utf-8"?>
<calcChain xmlns="http://schemas.openxmlformats.org/spreadsheetml/2006/main">
  <c r="Q70" i="30" l="1"/>
  <c r="P70" i="30"/>
  <c r="O70" i="30"/>
  <c r="M70" i="30"/>
  <c r="N69" i="30"/>
  <c r="R69" i="30" s="1"/>
  <c r="V69" i="30" s="1"/>
  <c r="N68" i="30"/>
  <c r="R68" i="30" s="1"/>
  <c r="V67" i="30"/>
  <c r="R67" i="30"/>
  <c r="X67" i="30" s="1"/>
  <c r="N67" i="30"/>
  <c r="N66" i="30"/>
  <c r="R66" i="30" s="1"/>
  <c r="X66" i="30" s="1"/>
  <c r="R65" i="30"/>
  <c r="N65" i="30"/>
  <c r="N64" i="30"/>
  <c r="R64" i="30" s="1"/>
  <c r="T64" i="30" s="1"/>
  <c r="S63" i="30"/>
  <c r="S62" i="30" s="1"/>
  <c r="M63" i="30"/>
  <c r="L63" i="30"/>
  <c r="K63" i="30"/>
  <c r="K62" i="30" s="1"/>
  <c r="N62" i="30" s="1"/>
  <c r="R62" i="30" s="1"/>
  <c r="R61" i="30"/>
  <c r="V61" i="30" s="1"/>
  <c r="N61" i="30"/>
  <c r="L60" i="30"/>
  <c r="N60" i="30" s="1"/>
  <c r="R60" i="30" s="1"/>
  <c r="T59" i="30"/>
  <c r="N59" i="30"/>
  <c r="R59" i="30" s="1"/>
  <c r="V59" i="30" s="1"/>
  <c r="S58" i="30"/>
  <c r="N58" i="30"/>
  <c r="R58" i="30" s="1"/>
  <c r="V58" i="30" s="1"/>
  <c r="K58" i="30"/>
  <c r="N57" i="30"/>
  <c r="R57" i="30" s="1"/>
  <c r="V57" i="30" s="1"/>
  <c r="R56" i="30"/>
  <c r="N56" i="30"/>
  <c r="N55" i="30"/>
  <c r="R55" i="30" s="1"/>
  <c r="S54" i="30"/>
  <c r="S53" i="30" s="1"/>
  <c r="N54" i="30"/>
  <c r="R54" i="30" s="1"/>
  <c r="L53" i="30"/>
  <c r="N53" i="30" s="1"/>
  <c r="R53" i="30" s="1"/>
  <c r="V53" i="30" s="1"/>
  <c r="W52" i="30"/>
  <c r="U52" i="30"/>
  <c r="S52" i="30"/>
  <c r="K52" i="30"/>
  <c r="W51" i="30"/>
  <c r="U51" i="30"/>
  <c r="S51" i="30"/>
  <c r="X50" i="30"/>
  <c r="N50" i="30"/>
  <c r="R50" i="30" s="1"/>
  <c r="V50" i="30" s="1"/>
  <c r="N49" i="30"/>
  <c r="R49" i="30" s="1"/>
  <c r="N48" i="30"/>
  <c r="R48" i="30" s="1"/>
  <c r="R47" i="30"/>
  <c r="N47" i="30"/>
  <c r="N46" i="30"/>
  <c r="R46" i="30" s="1"/>
  <c r="V46" i="30" s="1"/>
  <c r="R45" i="30"/>
  <c r="N45" i="30"/>
  <c r="N44" i="30"/>
  <c r="R44" i="30" s="1"/>
  <c r="R43" i="30"/>
  <c r="N43" i="30"/>
  <c r="N42" i="30"/>
  <c r="R42" i="30" s="1"/>
  <c r="V42" i="30" s="1"/>
  <c r="R41" i="30"/>
  <c r="N41" i="30"/>
  <c r="N40" i="30"/>
  <c r="R40" i="30" s="1"/>
  <c r="L39" i="30"/>
  <c r="W38" i="30"/>
  <c r="U38" i="30"/>
  <c r="S38" i="30"/>
  <c r="N38" i="30"/>
  <c r="R38" i="30" s="1"/>
  <c r="W37" i="30"/>
  <c r="U37" i="30"/>
  <c r="U70" i="30" s="1"/>
  <c r="S37" i="30"/>
  <c r="K37" i="30"/>
  <c r="N37" i="30" s="1"/>
  <c r="R37" i="30" s="1"/>
  <c r="T36" i="30"/>
  <c r="N36" i="30"/>
  <c r="R36" i="30" s="1"/>
  <c r="V36" i="30" s="1"/>
  <c r="R35" i="30"/>
  <c r="V35" i="30" s="1"/>
  <c r="N35" i="30"/>
  <c r="N34" i="30"/>
  <c r="R34" i="30" s="1"/>
  <c r="V34" i="30" s="1"/>
  <c r="V33" i="30"/>
  <c r="R33" i="30"/>
  <c r="N33" i="30"/>
  <c r="T32" i="30"/>
  <c r="N32" i="30"/>
  <c r="R32" i="30" s="1"/>
  <c r="V32" i="30" s="1"/>
  <c r="N31" i="30"/>
  <c r="R31" i="30" s="1"/>
  <c r="V31" i="30" s="1"/>
  <c r="P28" i="30"/>
  <c r="P71" i="30" s="1"/>
  <c r="O28" i="30"/>
  <c r="N27" i="30"/>
  <c r="R27" i="30" s="1"/>
  <c r="V27" i="30" s="1"/>
  <c r="W26" i="30"/>
  <c r="U26" i="30"/>
  <c r="S26" i="30"/>
  <c r="N26" i="30"/>
  <c r="R26" i="30" s="1"/>
  <c r="K26" i="30"/>
  <c r="K25" i="30" s="1"/>
  <c r="Q25" i="30"/>
  <c r="Q28" i="30" s="1"/>
  <c r="Q71" i="30" s="1"/>
  <c r="M25" i="30"/>
  <c r="M28" i="30" s="1"/>
  <c r="M71" i="30" s="1"/>
  <c r="L25" i="30"/>
  <c r="T24" i="30"/>
  <c r="N24" i="30"/>
  <c r="R24" i="30" s="1"/>
  <c r="V24" i="30" s="1"/>
  <c r="R23" i="30"/>
  <c r="N23" i="30"/>
  <c r="N22" i="30"/>
  <c r="R22" i="30" s="1"/>
  <c r="V21" i="30"/>
  <c r="R21" i="30"/>
  <c r="N21" i="30"/>
  <c r="X20" i="30"/>
  <c r="T20" i="30"/>
  <c r="N20" i="30"/>
  <c r="R20" i="30" s="1"/>
  <c r="V20" i="30" s="1"/>
  <c r="N19" i="30"/>
  <c r="R19" i="30" s="1"/>
  <c r="N18" i="30"/>
  <c r="R18" i="30" s="1"/>
  <c r="N17" i="30"/>
  <c r="R17" i="30" s="1"/>
  <c r="V17" i="30" s="1"/>
  <c r="X16" i="30"/>
  <c r="T16" i="30"/>
  <c r="N16" i="30"/>
  <c r="R16" i="30" s="1"/>
  <c r="V16" i="30" s="1"/>
  <c r="R15" i="30"/>
  <c r="N15" i="30"/>
  <c r="N14" i="30"/>
  <c r="K28" i="30" l="1"/>
  <c r="N25" i="30"/>
  <c r="R25" i="30" s="1"/>
  <c r="V60" i="30"/>
  <c r="T60" i="30"/>
  <c r="X24" i="30"/>
  <c r="T27" i="30"/>
  <c r="X32" i="30"/>
  <c r="X46" i="30"/>
  <c r="X57" i="30"/>
  <c r="T34" i="30"/>
  <c r="X42" i="30"/>
  <c r="O71" i="30"/>
  <c r="V65" i="30"/>
  <c r="T65" i="30"/>
  <c r="X65" i="30"/>
  <c r="V40" i="30"/>
  <c r="X40" i="30"/>
  <c r="T40" i="30"/>
  <c r="T49" i="30"/>
  <c r="X49" i="30"/>
  <c r="V49" i="30"/>
  <c r="V55" i="30"/>
  <c r="X55" i="30"/>
  <c r="T55" i="30"/>
  <c r="N63" i="30"/>
  <c r="R63" i="30" s="1"/>
  <c r="T15" i="30"/>
  <c r="X15" i="30"/>
  <c r="V15" i="30"/>
  <c r="V22" i="30"/>
  <c r="X22" i="30"/>
  <c r="T22" i="30"/>
  <c r="T45" i="30"/>
  <c r="X45" i="30"/>
  <c r="V45" i="30"/>
  <c r="T19" i="30"/>
  <c r="X19" i="30"/>
  <c r="V19" i="30"/>
  <c r="R14" i="30"/>
  <c r="N28" i="30"/>
  <c r="T23" i="30"/>
  <c r="X23" i="30"/>
  <c r="V23" i="30"/>
  <c r="S25" i="30"/>
  <c r="T25" i="30" s="1"/>
  <c r="W70" i="30"/>
  <c r="T41" i="30"/>
  <c r="X41" i="30"/>
  <c r="V41" i="30"/>
  <c r="V48" i="30"/>
  <c r="X48" i="30"/>
  <c r="T48" i="30"/>
  <c r="V18" i="30"/>
  <c r="X18" i="30"/>
  <c r="T18" i="30"/>
  <c r="V44" i="30"/>
  <c r="X44" i="30"/>
  <c r="T44" i="30"/>
  <c r="X56" i="30"/>
  <c r="T56" i="30"/>
  <c r="V56" i="30"/>
  <c r="V62" i="30"/>
  <c r="X62" i="30"/>
  <c r="T62" i="30"/>
  <c r="U25" i="30"/>
  <c r="X27" i="30"/>
  <c r="T33" i="30"/>
  <c r="X33" i="30"/>
  <c r="X34" i="30"/>
  <c r="V37" i="30"/>
  <c r="X37" i="30"/>
  <c r="T37" i="30"/>
  <c r="V38" i="30"/>
  <c r="X38" i="30"/>
  <c r="T38" i="30"/>
  <c r="L70" i="30"/>
  <c r="N39" i="30"/>
  <c r="R39" i="30" s="1"/>
  <c r="K51" i="30"/>
  <c r="N52" i="30"/>
  <c r="R52" i="30" s="1"/>
  <c r="T54" i="30"/>
  <c r="X54" i="30"/>
  <c r="X61" i="30"/>
  <c r="T61" i="30"/>
  <c r="X64" i="30"/>
  <c r="V64" i="30"/>
  <c r="T66" i="30"/>
  <c r="V66" i="30"/>
  <c r="X17" i="30"/>
  <c r="T17" i="30"/>
  <c r="X21" i="30"/>
  <c r="T21" i="30"/>
  <c r="W25" i="30"/>
  <c r="L28" i="30"/>
  <c r="S70" i="30"/>
  <c r="X43" i="30"/>
  <c r="T43" i="30"/>
  <c r="X47" i="30"/>
  <c r="T47" i="30"/>
  <c r="X53" i="30"/>
  <c r="T53" i="30"/>
  <c r="X58" i="30"/>
  <c r="T58" i="30"/>
  <c r="X68" i="30"/>
  <c r="V68" i="30"/>
  <c r="T68" i="30"/>
  <c r="X26" i="30"/>
  <c r="T26" i="30"/>
  <c r="V26" i="30"/>
  <c r="X31" i="30"/>
  <c r="T31" i="30"/>
  <c r="X35" i="30"/>
  <c r="T35" i="30"/>
  <c r="X36" i="30"/>
  <c r="T42" i="30"/>
  <c r="V43" i="30"/>
  <c r="T46" i="30"/>
  <c r="V47" i="30"/>
  <c r="T50" i="30"/>
  <c r="V54" i="30"/>
  <c r="T57" i="30"/>
  <c r="X59" i="30"/>
  <c r="X60" i="30"/>
  <c r="T67" i="30"/>
  <c r="X69" i="30"/>
  <c r="T69" i="30"/>
  <c r="W28" i="30" l="1"/>
  <c r="W71" i="30" s="1"/>
  <c r="L71" i="30"/>
  <c r="K70" i="30"/>
  <c r="K71" i="30" s="1"/>
  <c r="N51" i="30"/>
  <c r="R51" i="30" s="1"/>
  <c r="R70" i="30" s="1"/>
  <c r="X63" i="30"/>
  <c r="T63" i="30"/>
  <c r="V63" i="30"/>
  <c r="X39" i="30"/>
  <c r="T39" i="30"/>
  <c r="V39" i="30"/>
  <c r="U28" i="30"/>
  <c r="U71" i="30" s="1"/>
  <c r="S28" i="30"/>
  <c r="S71" i="30" s="1"/>
  <c r="V25" i="30"/>
  <c r="V52" i="30"/>
  <c r="X52" i="30"/>
  <c r="T52" i="30"/>
  <c r="V14" i="30"/>
  <c r="R28" i="30"/>
  <c r="X14" i="30"/>
  <c r="T14" i="30"/>
  <c r="X25" i="30"/>
  <c r="N70" i="30" l="1"/>
  <c r="N71" i="30" s="1"/>
  <c r="R71" i="30"/>
  <c r="T28" i="30"/>
  <c r="X28" i="30"/>
  <c r="V28" i="30"/>
  <c r="X51" i="30"/>
  <c r="T51" i="30"/>
  <c r="V51" i="30"/>
  <c r="X70" i="30"/>
  <c r="T70" i="30"/>
  <c r="V70" i="30"/>
  <c r="V71" i="30" l="1"/>
  <c r="X71" i="30"/>
  <c r="T71" i="30"/>
</calcChain>
</file>

<file path=xl/sharedStrings.xml><?xml version="1.0" encoding="utf-8"?>
<sst xmlns="http://schemas.openxmlformats.org/spreadsheetml/2006/main" count="536" uniqueCount="131">
  <si>
    <t>ANEXO II</t>
  </si>
  <si>
    <t>Sigla: TJAM</t>
  </si>
  <si>
    <t>Nome do Órgão: TRIBUNAL DE JUSTIÇA DO AMAZONAS</t>
  </si>
  <si>
    <t>Responsável pela Informação: SECRETÁRIO DE ORÇAMENTO E FINANÇAS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</si>
  <si>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</si>
  <si>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</si>
  <si>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</si>
  <si>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</si>
  <si>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</si>
  <si>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</si>
  <si>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</si>
  <si>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</si>
  <si>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</si>
  <si>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</si>
  <si>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</si>
  <si>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</si>
  <si>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</si>
  <si>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</si>
  <si>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</si>
  <si>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</si>
  <si>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</si>
  <si>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</si>
  <si>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</si>
  <si>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</si>
  <si>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</si>
  <si>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</si>
  <si>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</si>
  <si>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</si>
  <si>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</si>
  <si>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</si>
  <si>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</si>
  <si>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</si>
  <si>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</si>
  <si>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</si>
  <si>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</si>
  <si>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</si>
  <si>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</si>
  <si>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</si>
  <si>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</si>
  <si>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</si>
  <si>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</si>
  <si>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</si>
  <si>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</si>
  <si>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</si>
  <si>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</si>
  <si>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</si>
  <si>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</si>
  <si>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</si>
  <si>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</si>
  <si>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1</t>
  </si>
  <si>
    <t>3290/2561.0001</t>
  </si>
  <si>
    <t>Benefícios aos Servidores do 1° Grau</t>
  </si>
  <si>
    <t>3290/2563.0001</t>
  </si>
  <si>
    <t>Remuneração de Pessoal Ativo e Encargos Sociais do 1° Grau</t>
  </si>
  <si>
    <t>3291/2347.0001</t>
  </si>
  <si>
    <t>3291/2564.0001</t>
  </si>
  <si>
    <t>Prestação Jurisdicional do 2° Grau e Gestão Administrativa na Justiça Estadual</t>
  </si>
  <si>
    <t>Benefícios aos Servidores do 2° Grau</t>
  </si>
  <si>
    <t>3291/2566.0001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</si>
  <si>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</si>
  <si>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</si>
  <si>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</si>
  <si>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</si>
  <si>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02.122</t>
  </si>
  <si>
    <t>02.128</t>
  </si>
  <si>
    <t>3291/2218.0001</t>
  </si>
  <si>
    <t>Formação e aperfeiçoamento dos Servidores</t>
  </si>
  <si>
    <t>02.272</t>
  </si>
  <si>
    <t>0002.0001.0001</t>
  </si>
  <si>
    <t>Encargos com Pessoal Inativo e Pensionistas</t>
  </si>
  <si>
    <t>28.846</t>
  </si>
  <si>
    <t>0003.0023.0001</t>
  </si>
  <si>
    <t>Cumprimento de Sentenças Judiciais Transitadas em julgado</t>
  </si>
  <si>
    <t>Total l</t>
  </si>
  <si>
    <t>4703</t>
  </si>
  <si>
    <t>Fundo de Modernização e Reaparelhamento do Poder Judiciário Estadual</t>
  </si>
  <si>
    <t>Prestação Jurisdicional do 1° Grau na Justiça Estadual</t>
  </si>
  <si>
    <t>3290/1476.0001</t>
  </si>
  <si>
    <t>3290/1477.0001</t>
  </si>
  <si>
    <t>Benefícios aos Servidores do 1. Grau</t>
  </si>
  <si>
    <t>3291/1478.0001</t>
  </si>
  <si>
    <t>3291/1479.0001</t>
  </si>
  <si>
    <t>3291/2565.0001</t>
  </si>
  <si>
    <t>3291/2581.0001</t>
  </si>
  <si>
    <t>02.126</t>
  </si>
  <si>
    <t>3290/2627.0001</t>
  </si>
  <si>
    <t>3291/2628.0001</t>
  </si>
  <si>
    <t>Formação e Aperfeiçoamento dos servidores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</si>
  <si>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</si>
  <si>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</si>
  <si>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</si>
  <si>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</si>
  <si>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</si>
  <si>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>NELIA CAMINHA JORGE</t>
  </si>
  <si>
    <t>1.500.100.0.0000.0000</t>
  </si>
  <si>
    <t>1.759.201.0.0000.0000</t>
  </si>
  <si>
    <t>3290/1476.0011</t>
  </si>
  <si>
    <t>1.759.285.0.0000.0000</t>
  </si>
  <si>
    <t>3291/1478.0011</t>
  </si>
  <si>
    <t>Recursos não Vinculados de Impostos</t>
  </si>
  <si>
    <t>Remuneração de Pessoal Ativo e Encargos Sociais do 2° Grau</t>
  </si>
  <si>
    <t>Previdência de Inativos e Pensionistas do Estado</t>
  </si>
  <si>
    <t>2</t>
  </si>
  <si>
    <t>Operações Especiais: Cumprimento de Senteças Judiciais</t>
  </si>
  <si>
    <t>Recursos Vinculados a Fundos - Diretamente Arrecadados</t>
  </si>
  <si>
    <t>2.759.201.0.0000.0000</t>
  </si>
  <si>
    <t>Recursos Vinculados a Fundos - Outras Fontes</t>
  </si>
  <si>
    <t>3290/1476.0003</t>
  </si>
  <si>
    <t>Apreciação e Julgamento da Causas na Justiça Estadual do 1° Grau</t>
  </si>
  <si>
    <t>Apreciação e Julgamento de Causas na Justiça Estadual do 2° Grau</t>
  </si>
  <si>
    <t>Operacionalização da Escola Superior da Magistratura - ESMAM</t>
  </si>
  <si>
    <t>Construção, Ampliação e Reforma de Unidades Jurisdicionais do 1° Grau</t>
  </si>
  <si>
    <t>Aprimoramento da Segurança Institucional no 1° Grau</t>
  </si>
  <si>
    <t>Apreciação e Julgamento de Causas na Justiça Estadual do 1° Grau</t>
  </si>
  <si>
    <t>Construção, Ampliação e Reforma de Unidades Jurisdicionais do 2° Grau</t>
  </si>
  <si>
    <t>Aprimoramento da Segurança Institucional no 2° Grau</t>
  </si>
  <si>
    <t>3291.1574.0001</t>
  </si>
  <si>
    <t>Ampliação do Quadro Funcional do TJ</t>
  </si>
  <si>
    <t>Operacionalização da Corregedoria Geral de Justiça - CGJ/AM</t>
  </si>
  <si>
    <t>Manutenção, Ampliação e Aperfeiçoamento da Infraestrutura de TIC no 1° Grau do Poder Judiciário</t>
  </si>
  <si>
    <t>Manutenção, Ampliação e Aperfeiçoamento da Infraestrutura de TIC no 2° Grau do Poder Judiciário</t>
  </si>
  <si>
    <t>3291.2347.0001</t>
  </si>
  <si>
    <t>3290.1476.0006</t>
  </si>
  <si>
    <t>3291.2745.0001</t>
  </si>
  <si>
    <t>Mês de Referência: 06/2024</t>
  </si>
  <si>
    <t>Data da Publicação: 20/07/2024</t>
  </si>
  <si>
    <t>3310.2773.0001</t>
  </si>
  <si>
    <t>Desenvolvimento de Ações Decorrentes de Emendas Parlamentares</t>
  </si>
  <si>
    <t>1.500.121.0.0000.0000</t>
  </si>
  <si>
    <t>Recursos não vinculados de impostos - FPE</t>
  </si>
  <si>
    <t>Aplicação de Emendas Parlamentares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</si>
</sst>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9" x14ac:knownFonts="1">
    <font>
      <sz val="11"/>
      <color rgb="FF000000"/>
      <name val="Arial"/>
      <scheme val="minor"/>
    </font>
    <font>
      <sz val="9"/>
      <color rgb="FF000000"/>
      <name val="Arial"/>
    </font>
    <font>
      <sz val="11"/>
      <name val="Arial"/>
    </font>
    <font>
      <sz val="7"/>
      <color rgb="FF000000"/>
      <name val="Arial"/>
    </font>
    <font>
      <sz val="11"/>
      <color rgb="FF000000"/>
      <name val="Arial"/>
    </font>
    <font>
      <sz val="7"/>
      <color rgb="FFFF0000"/>
      <name val="Arial"/>
    </font>
    <font>
      <b/>
      <sz val="7"/>
      <color rgb="FF000000"/>
      <name val="Arial"/>
    </font>
    <font>
      <sz val="12"/>
      <color rgb="FF000000"/>
      <name val="Arial"/>
    </font>
    <font>
      <sz val="10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DBE5F1"/>
        <bgColor rgb="FFDBE5F1"/>
      </patternFill>
    </fill>
    <fill>
      <patternFill patternType="solid">
        <fgColor rgb="FF00DCFF"/>
        <bgColor rgb="FF00DCFF"/>
      </patternFill>
    </fill>
    <fill>
      <patternFill patternType="solid">
        <fgColor rgb="FFD0E0E3"/>
        <bgColor rgb="FFD0E0E3"/>
      </patternFill>
    </fill>
    <fill>
      <patternFill patternType="solid">
        <fgColor rgb="FFCFE2F3"/>
        <bgColor rgb="FFCFE2F3"/>
      </patternFill>
    </fill>
  </fills>
  <borders count="17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4" fillId="0" borderId="0" xfId="0" applyFont="1"/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166" fontId="3" fillId="2" borderId="12" xfId="0" applyNumberFormat="1" applyFont="1" applyFill="1" applyBorder="1" applyAlignment="1">
      <alignment horizontal="right" vertical="center"/>
    </xf>
    <xf numFmtId="4" fontId="6" fillId="2" borderId="12" xfId="0" applyNumberFormat="1" applyFont="1" applyFill="1" applyBorder="1" applyAlignment="1">
      <alignment horizontal="right" vertical="center"/>
    </xf>
    <xf numFmtId="4" fontId="3" fillId="2" borderId="12" xfId="0" applyNumberFormat="1" applyFont="1" applyFill="1" applyBorder="1" applyAlignment="1">
      <alignment horizontal="right" vertical="center"/>
    </xf>
    <xf numFmtId="164" fontId="6" fillId="2" borderId="12" xfId="0" applyNumberFormat="1" applyFont="1" applyFill="1" applyBorder="1" applyAlignment="1">
      <alignment horizontal="center" vertical="center"/>
    </xf>
    <xf numFmtId="166" fontId="4" fillId="0" borderId="0" xfId="0" applyNumberFormat="1" applyFont="1"/>
    <xf numFmtId="0" fontId="3" fillId="4" borderId="12" xfId="0" applyFont="1" applyFill="1" applyBorder="1" applyAlignment="1">
      <alignment horizontal="center" vertical="center" wrapText="1"/>
    </xf>
    <xf numFmtId="166" fontId="3" fillId="4" borderId="12" xfId="0" applyNumberFormat="1" applyFont="1" applyFill="1" applyBorder="1" applyAlignment="1">
      <alignment horizontal="right" vertical="center"/>
    </xf>
    <xf numFmtId="49" fontId="3" fillId="0" borderId="12" xfId="0" applyNumberFormat="1" applyFont="1" applyBorder="1" applyAlignment="1">
      <alignment horizontal="center" vertical="center" wrapText="1"/>
    </xf>
    <xf numFmtId="167" fontId="3" fillId="0" borderId="12" xfId="0" applyNumberFormat="1" applyFont="1" applyBorder="1" applyAlignment="1">
      <alignment horizontal="right" vertical="center"/>
    </xf>
    <xf numFmtId="166" fontId="3" fillId="0" borderId="12" xfId="0" applyNumberFormat="1" applyFont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4" fontId="6" fillId="0" borderId="12" xfId="0" applyNumberFormat="1" applyFont="1" applyBorder="1" applyAlignment="1">
      <alignment horizontal="center" vertical="center"/>
    </xf>
    <xf numFmtId="4" fontId="6" fillId="5" borderId="12" xfId="0" applyNumberFormat="1" applyFont="1" applyFill="1" applyBorder="1" applyAlignment="1">
      <alignment horizontal="center" vertical="center" wrapText="1"/>
    </xf>
    <xf numFmtId="164" fontId="6" fillId="5" borderId="12" xfId="0" applyNumberFormat="1" applyFont="1" applyFill="1" applyBorder="1" applyAlignment="1">
      <alignment horizontal="center" vertical="center"/>
    </xf>
    <xf numFmtId="49" fontId="7" fillId="5" borderId="12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166" fontId="3" fillId="6" borderId="12" xfId="0" applyNumberFormat="1" applyFont="1" applyFill="1" applyBorder="1" applyAlignment="1">
      <alignment horizontal="right" vertical="center"/>
    </xf>
    <xf numFmtId="166" fontId="3" fillId="7" borderId="12" xfId="0" applyNumberFormat="1" applyFont="1" applyFill="1" applyBorder="1" applyAlignment="1">
      <alignment horizontal="right" vertical="center"/>
    </xf>
    <xf numFmtId="4" fontId="6" fillId="8" borderId="12" xfId="0" applyNumberFormat="1" applyFont="1" applyFill="1" applyBorder="1" applyAlignment="1">
      <alignment horizontal="center" vertical="center" wrapText="1"/>
    </xf>
    <xf numFmtId="164" fontId="6" fillId="8" borderId="12" xfId="0" applyNumberFormat="1" applyFont="1" applyFill="1" applyBorder="1" applyAlignment="1">
      <alignment horizontal="center" vertical="center"/>
    </xf>
    <xf numFmtId="0" fontId="8" fillId="2" borderId="14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/>
    <xf numFmtId="0" fontId="3" fillId="2" borderId="4" xfId="0" applyFont="1" applyFill="1" applyBorder="1"/>
    <xf numFmtId="0" fontId="5" fillId="2" borderId="15" xfId="0" applyFont="1" applyFill="1" applyBorder="1"/>
    <xf numFmtId="164" fontId="3" fillId="2" borderId="9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2" borderId="12" xfId="0" quotePrefix="1" applyFont="1" applyFill="1" applyBorder="1" applyAlignment="1">
      <alignment horizontal="right" vertical="center"/>
    </xf>
    <xf numFmtId="166" fontId="3" fillId="9" borderId="12" xfId="0" applyNumberFormat="1" applyFont="1" applyFill="1" applyBorder="1" applyAlignment="1">
      <alignment horizontal="right" vertical="center"/>
    </xf>
    <xf numFmtId="0" fontId="3" fillId="10" borderId="12" xfId="0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right" vertical="center"/>
    </xf>
    <xf numFmtId="166" fontId="3" fillId="10" borderId="12" xfId="0" applyNumberFormat="1" applyFont="1" applyFill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0" fontId="6" fillId="2" borderId="10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49" fontId="4" fillId="5" borderId="1" xfId="0" applyNumberFormat="1" applyFont="1" applyFill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customschemas.google.com/relationships/workbookmetadata" Target="metadata"/><Relationship Id="rId38" Type="http://schemas.openxmlformats.org/officeDocument/2006/relationships/calcChain" Target="calcChain.xml"/><Relationship Id="rId1" Type="http://schemas.openxmlformats.org/officeDocument/2006/relationships/worksheet" Target="worksheets/sheet1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 summaryRight="0"/>
    <pageSetUpPr fitToPage="1"/>
  </sheetPr>
  <dimension ref="A1:AA887"/>
  <sheetViews>
    <sheetView tabSelected="1" workbookViewId="0">
      <selection sqref="A1:X74"/>
    </sheetView>
  </sheetViews>
  <sheetFormatPr defaultColWidth="12.59765625" defaultRowHeight="15" customHeight="1" x14ac:dyDescent="0.25"/>
  <cols>
    <col min="1" max="1" width="9.09765625" customWidth="1"/>
    <col min="2" max="2" width="11" customWidth="1"/>
    <col min="3" max="3" width="9.09765625" customWidth="1"/>
    <col min="4" max="4" width="14" customWidth="1"/>
    <col min="5" max="5" width="9.09765625" customWidth="1"/>
    <col min="6" max="6" width="11.3984375" customWidth="1"/>
    <col min="7" max="7" width="14" customWidth="1"/>
    <col min="8" max="8" width="13.8984375" customWidth="1"/>
    <col min="9" max="10" width="9.09765625" customWidth="1"/>
    <col min="11" max="11" width="13.19921875" customWidth="1"/>
    <col min="12" max="12" width="10.3984375" customWidth="1"/>
    <col min="13" max="13" width="14" customWidth="1"/>
    <col min="14" max="14" width="13.59765625" customWidth="1"/>
    <col min="15" max="15" width="9.69921875" customWidth="1"/>
    <col min="16" max="16" width="9.09765625" customWidth="1"/>
    <col min="17" max="17" width="10.3984375" customWidth="1"/>
    <col min="18" max="18" width="12.69921875" customWidth="1"/>
    <col min="19" max="19" width="11.69921875" customWidth="1"/>
    <col min="20" max="20" width="12.3984375" customWidth="1"/>
    <col min="21" max="21" width="13.8984375" customWidth="1"/>
    <col min="22" max="22" width="9.09765625" customWidth="1"/>
    <col min="23" max="23" width="14.59765625" customWidth="1"/>
    <col min="24" max="24" width="9.09765625" customWidth="1"/>
    <col min="25" max="25" width="13.69921875" customWidth="1"/>
    <col min="26" max="26" width="16.3984375" customWidth="1"/>
    <col min="27" max="27" width="9.09765625" customWidth="1"/>
  </cols>
  <sheetData>
    <row r="1" spans="1:27" ht="14.25" customHeight="1" x14ac:dyDescent="0.25">
      <c r="A1" s="70" t="s">
        <v>0</v>
      </c>
      <c r="B1" s="66"/>
      <c r="C1" s="66"/>
      <c r="D1" s="66"/>
      <c r="E1" s="66"/>
      <c r="F1" s="61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 x14ac:dyDescent="0.25">
      <c r="A2" s="74" t="s">
        <v>1</v>
      </c>
      <c r="B2" s="75"/>
      <c r="C2" s="75"/>
      <c r="D2" s="75"/>
      <c r="E2" s="75"/>
      <c r="F2" s="76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 x14ac:dyDescent="0.25">
      <c r="A3" s="74" t="s">
        <v>2</v>
      </c>
      <c r="B3" s="75"/>
      <c r="C3" s="75"/>
      <c r="D3" s="75"/>
      <c r="E3" s="75"/>
      <c r="F3" s="76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 x14ac:dyDescent="0.25">
      <c r="A4" s="70" t="s">
        <v>93</v>
      </c>
      <c r="B4" s="66"/>
      <c r="C4" s="66"/>
      <c r="D4" s="66"/>
      <c r="E4" s="66"/>
      <c r="F4" s="61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 x14ac:dyDescent="0.25">
      <c r="A5" s="6" t="s">
        <v>3</v>
      </c>
      <c r="B5" s="6"/>
      <c r="C5" s="6"/>
      <c r="D5" s="6"/>
      <c r="E5" s="6"/>
      <c r="F5" s="6"/>
      <c r="G5" s="7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 x14ac:dyDescent="0.25">
      <c r="A6" s="70" t="s">
        <v>124</v>
      </c>
      <c r="B6" s="66"/>
      <c r="C6" s="66"/>
      <c r="D6" s="66"/>
      <c r="E6" s="66"/>
      <c r="F6" s="61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 x14ac:dyDescent="0.25">
      <c r="A7" s="70" t="s">
        <v>125</v>
      </c>
      <c r="B7" s="66"/>
      <c r="C7" s="66"/>
      <c r="D7" s="66"/>
      <c r="E7" s="66"/>
      <c r="F7" s="61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 x14ac:dyDescent="0.25">
      <c r="A8" s="73"/>
      <c r="B8" s="72"/>
      <c r="C8" s="72"/>
      <c r="D8" s="72"/>
      <c r="E8" s="72"/>
      <c r="F8" s="72"/>
      <c r="G8" s="1"/>
      <c r="H8" s="2"/>
      <c r="I8" s="2"/>
      <c r="J8" s="50"/>
      <c r="K8" s="1"/>
      <c r="L8" s="1"/>
      <c r="M8" s="1"/>
      <c r="N8" s="1"/>
      <c r="O8" s="1"/>
      <c r="P8" s="1"/>
      <c r="Q8" s="1"/>
      <c r="R8" s="1"/>
      <c r="S8" s="1"/>
      <c r="T8" s="1"/>
      <c r="U8" s="51"/>
      <c r="V8" s="5"/>
      <c r="W8" s="5"/>
      <c r="X8" s="5"/>
      <c r="Y8" s="5"/>
      <c r="Z8" s="5"/>
      <c r="AA8" s="5"/>
    </row>
    <row r="9" spans="1:27" ht="14.25" customHeight="1" x14ac:dyDescent="0.25">
      <c r="A9" s="71" t="s">
        <v>4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5"/>
      <c r="Z9" s="5"/>
      <c r="AA9" s="5"/>
    </row>
    <row r="10" spans="1:27" ht="14.25" customHeight="1" x14ac:dyDescent="0.25">
      <c r="A10" s="1"/>
      <c r="B10" s="1"/>
      <c r="C10" s="1"/>
      <c r="D10" s="1"/>
      <c r="E10" s="1"/>
      <c r="F10" s="1"/>
      <c r="G10" s="1"/>
      <c r="H10" s="2"/>
      <c r="I10" s="2"/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49"/>
      <c r="V10" s="1"/>
      <c r="W10" s="9"/>
      <c r="X10" s="1"/>
      <c r="Y10" s="5"/>
      <c r="Z10" s="5"/>
      <c r="AA10" s="5"/>
    </row>
    <row r="11" spans="1:27" ht="19.5" customHeight="1" x14ac:dyDescent="0.25">
      <c r="A11" s="60" t="s">
        <v>5</v>
      </c>
      <c r="B11" s="66"/>
      <c r="C11" s="66"/>
      <c r="D11" s="66"/>
      <c r="E11" s="66"/>
      <c r="F11" s="66"/>
      <c r="G11" s="66"/>
      <c r="H11" s="66"/>
      <c r="I11" s="66"/>
      <c r="J11" s="61"/>
      <c r="K11" s="62" t="s">
        <v>6</v>
      </c>
      <c r="L11" s="60" t="s">
        <v>7</v>
      </c>
      <c r="M11" s="61"/>
      <c r="N11" s="62" t="s">
        <v>8</v>
      </c>
      <c r="O11" s="62" t="s">
        <v>9</v>
      </c>
      <c r="P11" s="60" t="s">
        <v>10</v>
      </c>
      <c r="Q11" s="61"/>
      <c r="R11" s="62" t="s">
        <v>11</v>
      </c>
      <c r="S11" s="60" t="s">
        <v>12</v>
      </c>
      <c r="T11" s="66"/>
      <c r="U11" s="66"/>
      <c r="V11" s="66"/>
      <c r="W11" s="66"/>
      <c r="X11" s="61"/>
      <c r="Y11" s="5"/>
      <c r="Z11" s="5"/>
      <c r="AA11" s="5"/>
    </row>
    <row r="12" spans="1:27" ht="14.25" customHeight="1" x14ac:dyDescent="0.25">
      <c r="A12" s="60" t="s">
        <v>13</v>
      </c>
      <c r="B12" s="61"/>
      <c r="C12" s="62" t="s">
        <v>14</v>
      </c>
      <c r="D12" s="62" t="s">
        <v>15</v>
      </c>
      <c r="E12" s="60" t="s">
        <v>16</v>
      </c>
      <c r="F12" s="61"/>
      <c r="G12" s="62" t="s">
        <v>17</v>
      </c>
      <c r="H12" s="60" t="s">
        <v>18</v>
      </c>
      <c r="I12" s="61"/>
      <c r="J12" s="64" t="s">
        <v>19</v>
      </c>
      <c r="K12" s="63"/>
      <c r="L12" s="10" t="s">
        <v>20</v>
      </c>
      <c r="M12" s="10" t="s">
        <v>21</v>
      </c>
      <c r="N12" s="63"/>
      <c r="O12" s="63"/>
      <c r="P12" s="11" t="s">
        <v>22</v>
      </c>
      <c r="Q12" s="11" t="s">
        <v>23</v>
      </c>
      <c r="R12" s="63"/>
      <c r="S12" s="12" t="s">
        <v>24</v>
      </c>
      <c r="T12" s="13" t="s">
        <v>25</v>
      </c>
      <c r="U12" s="12" t="s">
        <v>26</v>
      </c>
      <c r="V12" s="14" t="s">
        <v>25</v>
      </c>
      <c r="W12" s="15" t="s">
        <v>27</v>
      </c>
      <c r="X12" s="14" t="s">
        <v>25</v>
      </c>
      <c r="Y12" s="5"/>
      <c r="Z12" s="5"/>
      <c r="AA12" s="5"/>
    </row>
    <row r="13" spans="1:27" ht="31.5" customHeight="1" x14ac:dyDescent="0.25">
      <c r="A13" s="12" t="s">
        <v>28</v>
      </c>
      <c r="B13" s="12" t="s">
        <v>16</v>
      </c>
      <c r="C13" s="63"/>
      <c r="D13" s="63"/>
      <c r="E13" s="11" t="s">
        <v>29</v>
      </c>
      <c r="F13" s="11" t="s">
        <v>30</v>
      </c>
      <c r="G13" s="63"/>
      <c r="H13" s="11" t="s">
        <v>28</v>
      </c>
      <c r="I13" s="11" t="s">
        <v>16</v>
      </c>
      <c r="J13" s="63"/>
      <c r="K13" s="12" t="s">
        <v>31</v>
      </c>
      <c r="L13" s="11" t="s">
        <v>32</v>
      </c>
      <c r="M13" s="11" t="s">
        <v>33</v>
      </c>
      <c r="N13" s="11" t="s">
        <v>34</v>
      </c>
      <c r="O13" s="11" t="s">
        <v>35</v>
      </c>
      <c r="P13" s="11" t="s">
        <v>36</v>
      </c>
      <c r="Q13" s="11" t="s">
        <v>37</v>
      </c>
      <c r="R13" s="12" t="s">
        <v>38</v>
      </c>
      <c r="S13" s="16" t="s">
        <v>39</v>
      </c>
      <c r="T13" s="17" t="s">
        <v>40</v>
      </c>
      <c r="U13" s="16" t="s">
        <v>41</v>
      </c>
      <c r="V13" s="17" t="s">
        <v>42</v>
      </c>
      <c r="W13" s="15" t="s">
        <v>43</v>
      </c>
      <c r="X13" s="17" t="s">
        <v>44</v>
      </c>
      <c r="Y13" s="5"/>
      <c r="Z13" s="5"/>
      <c r="AA13" s="5"/>
    </row>
    <row r="14" spans="1:27" ht="63" customHeight="1" x14ac:dyDescent="0.25">
      <c r="A14" s="18" t="s">
        <v>45</v>
      </c>
      <c r="B14" s="27" t="s">
        <v>46</v>
      </c>
      <c r="C14" s="27" t="s">
        <v>47</v>
      </c>
      <c r="D14" s="27" t="s">
        <v>48</v>
      </c>
      <c r="E14" s="27" t="s">
        <v>76</v>
      </c>
      <c r="F14" s="27" t="s">
        <v>108</v>
      </c>
      <c r="G14" s="27" t="s">
        <v>49</v>
      </c>
      <c r="H14" s="27" t="s">
        <v>94</v>
      </c>
      <c r="I14" s="27" t="s">
        <v>99</v>
      </c>
      <c r="J14" s="53">
        <v>3</v>
      </c>
      <c r="K14" s="29">
        <v>100000</v>
      </c>
      <c r="L14" s="20">
        <v>0</v>
      </c>
      <c r="M14" s="20">
        <v>0</v>
      </c>
      <c r="N14" s="21">
        <f t="shared" ref="N14:N27" si="0">K14+L14-M14</f>
        <v>100000</v>
      </c>
      <c r="O14" s="22"/>
      <c r="P14" s="22"/>
      <c r="Q14" s="22"/>
      <c r="R14" s="21">
        <f t="shared" ref="R14:R27" si="1">N14-O14+P14+Q14</f>
        <v>100000</v>
      </c>
      <c r="S14" s="20">
        <v>0</v>
      </c>
      <c r="T14" s="23">
        <f t="shared" ref="T14:T28" si="2">IF(R14&gt;0,S14/R14,0)</f>
        <v>0</v>
      </c>
      <c r="U14" s="40">
        <v>0</v>
      </c>
      <c r="V14" s="23">
        <f t="shared" ref="V14:V28" si="3">IF(R14&gt;0,U14/R14,0)</f>
        <v>0</v>
      </c>
      <c r="W14" s="20">
        <v>0</v>
      </c>
      <c r="X14" s="23">
        <f t="shared" ref="X14:X28" si="4">IF(R14&gt;0,W14/R14,0)</f>
        <v>0</v>
      </c>
      <c r="Y14" s="5"/>
      <c r="Z14" s="5"/>
      <c r="AA14" s="5"/>
    </row>
    <row r="15" spans="1:27" ht="63" customHeight="1" x14ac:dyDescent="0.25">
      <c r="A15" s="18" t="s">
        <v>45</v>
      </c>
      <c r="B15" s="27" t="s">
        <v>46</v>
      </c>
      <c r="C15" s="27" t="s">
        <v>47</v>
      </c>
      <c r="D15" s="27" t="s">
        <v>50</v>
      </c>
      <c r="E15" s="27" t="s">
        <v>76</v>
      </c>
      <c r="F15" s="27" t="s">
        <v>51</v>
      </c>
      <c r="G15" s="27" t="s">
        <v>49</v>
      </c>
      <c r="H15" s="27" t="s">
        <v>94</v>
      </c>
      <c r="I15" s="27" t="s">
        <v>99</v>
      </c>
      <c r="J15" s="53">
        <v>3</v>
      </c>
      <c r="K15" s="29">
        <v>77675500</v>
      </c>
      <c r="L15" s="20">
        <v>0</v>
      </c>
      <c r="M15" s="20">
        <v>0</v>
      </c>
      <c r="N15" s="21">
        <f t="shared" si="0"/>
        <v>77675500</v>
      </c>
      <c r="O15" s="54"/>
      <c r="P15" s="22"/>
      <c r="Q15" s="22"/>
      <c r="R15" s="21">
        <f t="shared" si="1"/>
        <v>77675500</v>
      </c>
      <c r="S15" s="20">
        <v>41030962.530000001</v>
      </c>
      <c r="T15" s="23">
        <f t="shared" si="2"/>
        <v>0.52823557659751141</v>
      </c>
      <c r="U15" s="40">
        <v>41030962.530000001</v>
      </c>
      <c r="V15" s="23">
        <f t="shared" si="3"/>
        <v>0.52823557659751141</v>
      </c>
      <c r="W15" s="20">
        <v>41030962.530000001</v>
      </c>
      <c r="X15" s="23">
        <f t="shared" si="4"/>
        <v>0.52823557659751141</v>
      </c>
      <c r="Y15" s="24"/>
      <c r="Z15" s="5"/>
      <c r="AA15" s="5"/>
    </row>
    <row r="16" spans="1:27" ht="63" customHeight="1" x14ac:dyDescent="0.25">
      <c r="A16" s="18" t="s">
        <v>45</v>
      </c>
      <c r="B16" s="27" t="s">
        <v>46</v>
      </c>
      <c r="C16" s="27" t="s">
        <v>47</v>
      </c>
      <c r="D16" s="27" t="s">
        <v>52</v>
      </c>
      <c r="E16" s="27" t="s">
        <v>76</v>
      </c>
      <c r="F16" s="27" t="s">
        <v>53</v>
      </c>
      <c r="G16" s="27" t="s">
        <v>49</v>
      </c>
      <c r="H16" s="27" t="s">
        <v>94</v>
      </c>
      <c r="I16" s="27" t="s">
        <v>99</v>
      </c>
      <c r="J16" s="25">
        <v>1</v>
      </c>
      <c r="K16" s="29">
        <v>470000000</v>
      </c>
      <c r="L16" s="20">
        <v>11187556.359999999</v>
      </c>
      <c r="M16" s="20">
        <v>11187556.359999999</v>
      </c>
      <c r="N16" s="21">
        <f t="shared" si="0"/>
        <v>470000000</v>
      </c>
      <c r="O16" s="22"/>
      <c r="P16" s="22"/>
      <c r="Q16" s="22"/>
      <c r="R16" s="21">
        <f t="shared" si="1"/>
        <v>470000000</v>
      </c>
      <c r="S16" s="20">
        <v>246824718.91999999</v>
      </c>
      <c r="T16" s="23">
        <f t="shared" si="2"/>
        <v>0.52515897642553189</v>
      </c>
      <c r="U16" s="26">
        <v>246824718.91999999</v>
      </c>
      <c r="V16" s="23">
        <f t="shared" si="3"/>
        <v>0.52515897642553189</v>
      </c>
      <c r="W16" s="20">
        <v>245702830.06999999</v>
      </c>
      <c r="X16" s="23">
        <f t="shared" si="4"/>
        <v>0.52277197887234039</v>
      </c>
      <c r="Y16" s="5"/>
      <c r="Z16" s="5"/>
      <c r="AA16" s="5"/>
    </row>
    <row r="17" spans="1:27" ht="63" customHeight="1" x14ac:dyDescent="0.25">
      <c r="A17" s="18" t="s">
        <v>45</v>
      </c>
      <c r="B17" s="27" t="s">
        <v>46</v>
      </c>
      <c r="C17" s="27" t="s">
        <v>47</v>
      </c>
      <c r="D17" s="27" t="s">
        <v>55</v>
      </c>
      <c r="E17" s="27" t="s">
        <v>56</v>
      </c>
      <c r="F17" s="27" t="s">
        <v>57</v>
      </c>
      <c r="G17" s="27" t="s">
        <v>49</v>
      </c>
      <c r="H17" s="27" t="s">
        <v>94</v>
      </c>
      <c r="I17" s="27" t="s">
        <v>99</v>
      </c>
      <c r="J17" s="53">
        <v>3</v>
      </c>
      <c r="K17" s="29">
        <v>22575500</v>
      </c>
      <c r="L17" s="20">
        <v>0</v>
      </c>
      <c r="M17" s="20">
        <v>0</v>
      </c>
      <c r="N17" s="21">
        <f t="shared" si="0"/>
        <v>22575500</v>
      </c>
      <c r="O17" s="22"/>
      <c r="P17" s="22"/>
      <c r="Q17" s="22"/>
      <c r="R17" s="21">
        <f t="shared" si="1"/>
        <v>22575500</v>
      </c>
      <c r="S17" s="20">
        <v>12049107.6</v>
      </c>
      <c r="T17" s="23">
        <f t="shared" si="2"/>
        <v>0.53372494961351902</v>
      </c>
      <c r="U17" s="40">
        <v>12049107.6</v>
      </c>
      <c r="V17" s="23">
        <f t="shared" si="3"/>
        <v>0.53372494961351902</v>
      </c>
      <c r="W17" s="20">
        <v>12049107.6</v>
      </c>
      <c r="X17" s="23">
        <f t="shared" si="4"/>
        <v>0.53372494961351902</v>
      </c>
      <c r="Y17" s="5"/>
      <c r="Z17" s="5"/>
      <c r="AA17" s="5"/>
    </row>
    <row r="18" spans="1:27" ht="63" customHeight="1" x14ac:dyDescent="0.25">
      <c r="A18" s="18" t="s">
        <v>45</v>
      </c>
      <c r="B18" s="27" t="s">
        <v>46</v>
      </c>
      <c r="C18" s="27" t="s">
        <v>47</v>
      </c>
      <c r="D18" s="27" t="s">
        <v>82</v>
      </c>
      <c r="E18" s="27" t="s">
        <v>56</v>
      </c>
      <c r="F18" s="27" t="s">
        <v>109</v>
      </c>
      <c r="G18" s="27" t="s">
        <v>49</v>
      </c>
      <c r="H18" s="27" t="s">
        <v>94</v>
      </c>
      <c r="I18" s="27" t="s">
        <v>99</v>
      </c>
      <c r="J18" s="53">
        <v>3</v>
      </c>
      <c r="K18" s="29">
        <v>50000</v>
      </c>
      <c r="L18" s="20">
        <v>0</v>
      </c>
      <c r="M18" s="20">
        <v>0</v>
      </c>
      <c r="N18" s="21">
        <f t="shared" si="0"/>
        <v>50000</v>
      </c>
      <c r="O18" s="22"/>
      <c r="P18" s="22"/>
      <c r="Q18" s="22"/>
      <c r="R18" s="21">
        <f t="shared" si="1"/>
        <v>50000</v>
      </c>
      <c r="S18" s="20">
        <v>0</v>
      </c>
      <c r="T18" s="23">
        <f t="shared" si="2"/>
        <v>0</v>
      </c>
      <c r="U18" s="40">
        <v>0</v>
      </c>
      <c r="V18" s="23">
        <f t="shared" si="3"/>
        <v>0</v>
      </c>
      <c r="W18" s="20">
        <v>0</v>
      </c>
      <c r="X18" s="23">
        <f t="shared" si="4"/>
        <v>0</v>
      </c>
      <c r="Y18" s="5"/>
      <c r="Z18" s="5"/>
      <c r="AA18" s="5"/>
    </row>
    <row r="19" spans="1:27" ht="63" customHeight="1" x14ac:dyDescent="0.25">
      <c r="A19" s="18" t="s">
        <v>45</v>
      </c>
      <c r="B19" s="27" t="s">
        <v>46</v>
      </c>
      <c r="C19" s="27" t="s">
        <v>47</v>
      </c>
      <c r="D19" s="27" t="s">
        <v>58</v>
      </c>
      <c r="E19" s="27" t="s">
        <v>56</v>
      </c>
      <c r="F19" s="27" t="s">
        <v>100</v>
      </c>
      <c r="G19" s="27" t="s">
        <v>49</v>
      </c>
      <c r="H19" s="27" t="s">
        <v>94</v>
      </c>
      <c r="I19" s="27" t="s">
        <v>99</v>
      </c>
      <c r="J19" s="25">
        <v>1</v>
      </c>
      <c r="K19" s="29">
        <v>123000000</v>
      </c>
      <c r="L19" s="20">
        <v>3144569.91</v>
      </c>
      <c r="M19" s="20">
        <v>3144569.91</v>
      </c>
      <c r="N19" s="21">
        <f t="shared" si="0"/>
        <v>123000000</v>
      </c>
      <c r="O19" s="22"/>
      <c r="P19" s="22"/>
      <c r="Q19" s="22"/>
      <c r="R19" s="21">
        <f t="shared" si="1"/>
        <v>123000000</v>
      </c>
      <c r="S19" s="20">
        <v>65721886.32</v>
      </c>
      <c r="T19" s="23">
        <f t="shared" si="2"/>
        <v>0.53432427902439028</v>
      </c>
      <c r="U19" s="26">
        <v>65721886.32</v>
      </c>
      <c r="V19" s="23">
        <f t="shared" si="3"/>
        <v>0.53432427902439028</v>
      </c>
      <c r="W19" s="20">
        <v>65092479.509999998</v>
      </c>
      <c r="X19" s="23">
        <f t="shared" si="4"/>
        <v>0.52920715048780487</v>
      </c>
      <c r="Y19" s="5"/>
      <c r="Z19" s="5"/>
      <c r="AA19" s="5"/>
    </row>
    <row r="20" spans="1:27" ht="66.599999999999994" customHeight="1" x14ac:dyDescent="0.25">
      <c r="A20" s="18" t="s">
        <v>45</v>
      </c>
      <c r="B20" s="27" t="s">
        <v>46</v>
      </c>
      <c r="C20" s="27" t="s">
        <v>47</v>
      </c>
      <c r="D20" s="27" t="s">
        <v>59</v>
      </c>
      <c r="E20" s="27" t="s">
        <v>56</v>
      </c>
      <c r="F20" s="27" t="s">
        <v>60</v>
      </c>
      <c r="G20" s="27" t="s">
        <v>49</v>
      </c>
      <c r="H20" s="27" t="s">
        <v>94</v>
      </c>
      <c r="I20" s="27" t="s">
        <v>99</v>
      </c>
      <c r="J20" s="25">
        <v>1</v>
      </c>
      <c r="K20" s="29">
        <v>151000000</v>
      </c>
      <c r="L20" s="20">
        <v>273952.40000000002</v>
      </c>
      <c r="M20" s="20">
        <v>273952.40000000002</v>
      </c>
      <c r="N20" s="21">
        <f t="shared" si="0"/>
        <v>151000000</v>
      </c>
      <c r="O20" s="22"/>
      <c r="P20" s="22"/>
      <c r="Q20" s="22"/>
      <c r="R20" s="21">
        <f t="shared" si="1"/>
        <v>151000000</v>
      </c>
      <c r="S20" s="20">
        <v>80100567.239999995</v>
      </c>
      <c r="T20" s="23">
        <f t="shared" si="2"/>
        <v>0.53046733271523172</v>
      </c>
      <c r="U20" s="26">
        <v>80100567.239999995</v>
      </c>
      <c r="V20" s="23">
        <f t="shared" si="3"/>
        <v>0.53046733271523172</v>
      </c>
      <c r="W20" s="20">
        <v>79605758.930000007</v>
      </c>
      <c r="X20" s="23">
        <f t="shared" si="4"/>
        <v>0.52719045649006624</v>
      </c>
      <c r="Y20" s="5"/>
      <c r="Z20" s="5"/>
      <c r="AA20" s="5"/>
    </row>
    <row r="21" spans="1:27" ht="67.8" customHeight="1" x14ac:dyDescent="0.25">
      <c r="A21" s="18" t="s">
        <v>45</v>
      </c>
      <c r="B21" s="27" t="s">
        <v>46</v>
      </c>
      <c r="C21" s="27" t="s">
        <v>47</v>
      </c>
      <c r="D21" s="27" t="s">
        <v>61</v>
      </c>
      <c r="E21" s="27" t="s">
        <v>56</v>
      </c>
      <c r="F21" s="27" t="s">
        <v>62</v>
      </c>
      <c r="G21" s="27" t="s">
        <v>49</v>
      </c>
      <c r="H21" s="27" t="s">
        <v>94</v>
      </c>
      <c r="I21" s="27" t="s">
        <v>99</v>
      </c>
      <c r="J21" s="52">
        <v>3</v>
      </c>
      <c r="K21" s="29">
        <v>25475500</v>
      </c>
      <c r="L21" s="20">
        <v>0</v>
      </c>
      <c r="M21" s="20">
        <v>0</v>
      </c>
      <c r="N21" s="21">
        <f t="shared" si="0"/>
        <v>25475500</v>
      </c>
      <c r="O21" s="22"/>
      <c r="P21" s="22"/>
      <c r="Q21" s="22"/>
      <c r="R21" s="21">
        <f t="shared" si="1"/>
        <v>25475500</v>
      </c>
      <c r="S21" s="20">
        <v>13315601.560000001</v>
      </c>
      <c r="T21" s="23">
        <f t="shared" si="2"/>
        <v>0.52268263861356989</v>
      </c>
      <c r="U21" s="40">
        <v>13315601.560000001</v>
      </c>
      <c r="V21" s="23">
        <f t="shared" si="3"/>
        <v>0.52268263861356989</v>
      </c>
      <c r="W21" s="20">
        <v>13315601.560000001</v>
      </c>
      <c r="X21" s="23">
        <f t="shared" si="4"/>
        <v>0.52268263861356989</v>
      </c>
      <c r="Y21" s="5"/>
      <c r="Z21" s="5"/>
      <c r="AA21" s="5"/>
    </row>
    <row r="22" spans="1:27" ht="63" customHeight="1" x14ac:dyDescent="0.25">
      <c r="A22" s="18" t="s">
        <v>45</v>
      </c>
      <c r="B22" s="27" t="s">
        <v>46</v>
      </c>
      <c r="C22" s="27" t="s">
        <v>63</v>
      </c>
      <c r="D22" s="27" t="s">
        <v>126</v>
      </c>
      <c r="E22" s="27" t="s">
        <v>130</v>
      </c>
      <c r="F22" s="27" t="s">
        <v>127</v>
      </c>
      <c r="G22" s="27" t="s">
        <v>49</v>
      </c>
      <c r="H22" s="27" t="s">
        <v>128</v>
      </c>
      <c r="I22" s="27" t="s">
        <v>129</v>
      </c>
      <c r="J22" s="52">
        <v>3</v>
      </c>
      <c r="K22" s="29">
        <v>0</v>
      </c>
      <c r="L22" s="29">
        <v>200000</v>
      </c>
      <c r="M22" s="29">
        <v>0</v>
      </c>
      <c r="N22" s="30">
        <f t="shared" si="0"/>
        <v>200000</v>
      </c>
      <c r="O22" s="59"/>
      <c r="P22" s="59"/>
      <c r="Q22" s="59"/>
      <c r="R22" s="30">
        <f t="shared" si="1"/>
        <v>200000</v>
      </c>
      <c r="S22" s="29">
        <v>0</v>
      </c>
      <c r="T22" s="32">
        <f t="shared" si="2"/>
        <v>0</v>
      </c>
      <c r="U22" s="29">
        <v>0</v>
      </c>
      <c r="V22" s="32">
        <f t="shared" si="3"/>
        <v>0</v>
      </c>
      <c r="W22" s="29">
        <v>0</v>
      </c>
      <c r="X22" s="32">
        <f t="shared" si="4"/>
        <v>0</v>
      </c>
      <c r="Y22" s="5"/>
      <c r="Z22" s="5"/>
      <c r="AA22" s="5"/>
    </row>
    <row r="23" spans="1:27" ht="67.2" x14ac:dyDescent="0.25">
      <c r="A23" s="18" t="s">
        <v>45</v>
      </c>
      <c r="B23" s="27" t="s">
        <v>46</v>
      </c>
      <c r="C23" s="27" t="s">
        <v>64</v>
      </c>
      <c r="D23" s="27" t="s">
        <v>65</v>
      </c>
      <c r="E23" s="27" t="s">
        <v>56</v>
      </c>
      <c r="F23" s="27" t="s">
        <v>66</v>
      </c>
      <c r="G23" s="27" t="s">
        <v>49</v>
      </c>
      <c r="H23" s="27" t="s">
        <v>94</v>
      </c>
      <c r="I23" s="27" t="s">
        <v>99</v>
      </c>
      <c r="J23" s="25">
        <v>1</v>
      </c>
      <c r="K23" s="28">
        <v>300000</v>
      </c>
      <c r="L23" s="20">
        <v>0</v>
      </c>
      <c r="M23" s="20">
        <v>0</v>
      </c>
      <c r="N23" s="21">
        <f t="shared" si="0"/>
        <v>300000</v>
      </c>
      <c r="O23" s="21"/>
      <c r="P23" s="21"/>
      <c r="Q23" s="21"/>
      <c r="R23" s="21">
        <f t="shared" si="1"/>
        <v>300000</v>
      </c>
      <c r="S23" s="29">
        <v>159267.5</v>
      </c>
      <c r="T23" s="23">
        <f t="shared" si="2"/>
        <v>0.53089166666666665</v>
      </c>
      <c r="U23" s="26">
        <v>159267.5</v>
      </c>
      <c r="V23" s="23">
        <f t="shared" si="3"/>
        <v>0.53089166666666665</v>
      </c>
      <c r="W23" s="20">
        <v>159267.5</v>
      </c>
      <c r="X23" s="23">
        <f t="shared" si="4"/>
        <v>0.53089166666666665</v>
      </c>
      <c r="Y23" s="5"/>
      <c r="Z23" s="5"/>
      <c r="AA23" s="5"/>
    </row>
    <row r="24" spans="1:27" ht="67.2" x14ac:dyDescent="0.25">
      <c r="A24" s="18" t="s">
        <v>45</v>
      </c>
      <c r="B24" s="27" t="s">
        <v>46</v>
      </c>
      <c r="C24" s="27" t="s">
        <v>64</v>
      </c>
      <c r="D24" s="27" t="s">
        <v>54</v>
      </c>
      <c r="E24" s="27" t="s">
        <v>56</v>
      </c>
      <c r="F24" s="27" t="s">
        <v>110</v>
      </c>
      <c r="G24" s="27" t="s">
        <v>49</v>
      </c>
      <c r="H24" s="27" t="s">
        <v>94</v>
      </c>
      <c r="I24" s="27" t="s">
        <v>99</v>
      </c>
      <c r="J24" s="25">
        <v>1</v>
      </c>
      <c r="K24" s="28">
        <v>300000</v>
      </c>
      <c r="L24" s="20">
        <v>0</v>
      </c>
      <c r="M24" s="20">
        <v>0</v>
      </c>
      <c r="N24" s="21">
        <f t="shared" si="0"/>
        <v>300000</v>
      </c>
      <c r="O24" s="21"/>
      <c r="P24" s="21"/>
      <c r="Q24" s="21"/>
      <c r="R24" s="21">
        <f t="shared" si="1"/>
        <v>300000</v>
      </c>
      <c r="S24" s="29">
        <v>132720</v>
      </c>
      <c r="T24" s="23">
        <f t="shared" si="2"/>
        <v>0.44240000000000002</v>
      </c>
      <c r="U24" s="26">
        <v>132720</v>
      </c>
      <c r="V24" s="23">
        <f t="shared" si="3"/>
        <v>0.44240000000000002</v>
      </c>
      <c r="W24" s="20">
        <v>132720</v>
      </c>
      <c r="X24" s="23">
        <f t="shared" si="4"/>
        <v>0.44240000000000002</v>
      </c>
      <c r="Y24" s="5"/>
      <c r="Z24" s="5"/>
      <c r="AA24" s="5"/>
    </row>
    <row r="25" spans="1:27" ht="63" customHeight="1" x14ac:dyDescent="0.25">
      <c r="A25" s="18" t="s">
        <v>45</v>
      </c>
      <c r="B25" s="27" t="s">
        <v>46</v>
      </c>
      <c r="C25" s="27" t="s">
        <v>67</v>
      </c>
      <c r="D25" s="27" t="s">
        <v>68</v>
      </c>
      <c r="E25" s="27" t="s">
        <v>101</v>
      </c>
      <c r="F25" s="27" t="s">
        <v>69</v>
      </c>
      <c r="G25" s="27" t="s">
        <v>102</v>
      </c>
      <c r="H25" s="27" t="s">
        <v>94</v>
      </c>
      <c r="I25" s="27" t="s">
        <v>99</v>
      </c>
      <c r="J25" s="25">
        <v>1</v>
      </c>
      <c r="K25" s="29">
        <f>153539737-K26</f>
        <v>147464237</v>
      </c>
      <c r="L25" s="20">
        <f t="shared" ref="L25:M25" si="5">23268791.35</f>
        <v>23268791.350000001</v>
      </c>
      <c r="M25" s="20">
        <f t="shared" si="5"/>
        <v>23268791.350000001</v>
      </c>
      <c r="N25" s="21">
        <f t="shared" si="0"/>
        <v>147464237</v>
      </c>
      <c r="O25" s="21"/>
      <c r="P25" s="21"/>
      <c r="Q25" s="21">
        <f>-11324647.46-19667680.51</f>
        <v>-30992327.970000003</v>
      </c>
      <c r="R25" s="21">
        <f t="shared" si="1"/>
        <v>116471909.03</v>
      </c>
      <c r="S25" s="20">
        <f>41729771.5-S26</f>
        <v>38571921.229999997</v>
      </c>
      <c r="T25" s="23">
        <f t="shared" si="2"/>
        <v>0.3311693055538818</v>
      </c>
      <c r="U25" s="26">
        <f>41729771.5-U26</f>
        <v>38571921.229999997</v>
      </c>
      <c r="V25" s="23">
        <f t="shared" si="3"/>
        <v>0.3311693055538818</v>
      </c>
      <c r="W25" s="20">
        <f>41544972.25-W26</f>
        <v>38387121.979999997</v>
      </c>
      <c r="X25" s="23">
        <f t="shared" si="4"/>
        <v>0.32958266331938046</v>
      </c>
      <c r="Y25" s="5"/>
      <c r="Z25" s="5"/>
      <c r="AA25" s="5"/>
    </row>
    <row r="26" spans="1:27" ht="63" customHeight="1" x14ac:dyDescent="0.25">
      <c r="A26" s="18" t="s">
        <v>45</v>
      </c>
      <c r="B26" s="27" t="s">
        <v>46</v>
      </c>
      <c r="C26" s="27" t="s">
        <v>67</v>
      </c>
      <c r="D26" s="27" t="s">
        <v>68</v>
      </c>
      <c r="E26" s="27" t="s">
        <v>101</v>
      </c>
      <c r="F26" s="27" t="s">
        <v>69</v>
      </c>
      <c r="G26" s="27" t="s">
        <v>102</v>
      </c>
      <c r="H26" s="27" t="s">
        <v>94</v>
      </c>
      <c r="I26" s="27" t="s">
        <v>99</v>
      </c>
      <c r="J26" s="53">
        <v>3</v>
      </c>
      <c r="K26" s="29">
        <f>6075500</f>
        <v>6075500</v>
      </c>
      <c r="L26" s="20">
        <v>0</v>
      </c>
      <c r="M26" s="20">
        <v>0</v>
      </c>
      <c r="N26" s="21">
        <f t="shared" si="0"/>
        <v>6075500</v>
      </c>
      <c r="O26" s="21"/>
      <c r="P26" s="21"/>
      <c r="Q26" s="21"/>
      <c r="R26" s="21">
        <f t="shared" si="1"/>
        <v>6075500</v>
      </c>
      <c r="S26" s="20">
        <f>47721.31+128892.17+2981236.79</f>
        <v>3157850.27</v>
      </c>
      <c r="T26" s="23">
        <f t="shared" si="2"/>
        <v>0.51976796477656162</v>
      </c>
      <c r="U26" s="40">
        <f>47721.31+128892.17+2981236.79</f>
        <v>3157850.27</v>
      </c>
      <c r="V26" s="23">
        <f t="shared" si="3"/>
        <v>0.51976796477656162</v>
      </c>
      <c r="W26" s="20">
        <f>47721.31+128892.17+2981236.79</f>
        <v>3157850.27</v>
      </c>
      <c r="X26" s="23">
        <f t="shared" si="4"/>
        <v>0.51976796477656162</v>
      </c>
      <c r="Y26" s="5"/>
      <c r="Z26" s="5"/>
      <c r="AA26" s="5"/>
    </row>
    <row r="27" spans="1:27" ht="63" customHeight="1" x14ac:dyDescent="0.25">
      <c r="A27" s="18" t="s">
        <v>45</v>
      </c>
      <c r="B27" s="19" t="s">
        <v>46</v>
      </c>
      <c r="C27" s="19" t="s">
        <v>70</v>
      </c>
      <c r="D27" s="19" t="s">
        <v>71</v>
      </c>
      <c r="E27" s="19" t="s">
        <v>103</v>
      </c>
      <c r="F27" s="19" t="s">
        <v>72</v>
      </c>
      <c r="G27" s="19" t="s">
        <v>49</v>
      </c>
      <c r="H27" s="19" t="s">
        <v>94</v>
      </c>
      <c r="I27" s="27" t="s">
        <v>99</v>
      </c>
      <c r="J27" s="25">
        <v>1</v>
      </c>
      <c r="K27" s="20">
        <v>152763</v>
      </c>
      <c r="L27" s="20">
        <v>0</v>
      </c>
      <c r="M27" s="20">
        <v>0</v>
      </c>
      <c r="N27" s="21">
        <f t="shared" si="0"/>
        <v>152763</v>
      </c>
      <c r="O27" s="21"/>
      <c r="P27" s="21"/>
      <c r="Q27" s="21"/>
      <c r="R27" s="21">
        <f t="shared" si="1"/>
        <v>152763</v>
      </c>
      <c r="S27" s="20">
        <v>58555.32</v>
      </c>
      <c r="T27" s="23">
        <f t="shared" si="2"/>
        <v>0.38330826181732486</v>
      </c>
      <c r="U27" s="26">
        <v>58555.32</v>
      </c>
      <c r="V27" s="23">
        <f t="shared" si="3"/>
        <v>0.38330826181732486</v>
      </c>
      <c r="W27" s="20">
        <v>58555.32</v>
      </c>
      <c r="X27" s="23">
        <f t="shared" si="4"/>
        <v>0.38330826181732486</v>
      </c>
      <c r="Y27" s="5"/>
      <c r="Z27" s="5"/>
      <c r="AA27" s="5"/>
    </row>
    <row r="28" spans="1:27" ht="16.5" customHeight="1" x14ac:dyDescent="0.25">
      <c r="A28" s="65" t="s">
        <v>73</v>
      </c>
      <c r="B28" s="66"/>
      <c r="C28" s="66"/>
      <c r="D28" s="66"/>
      <c r="E28" s="66"/>
      <c r="F28" s="66"/>
      <c r="G28" s="66"/>
      <c r="H28" s="66"/>
      <c r="I28" s="66"/>
      <c r="J28" s="61"/>
      <c r="K28" s="33">
        <f t="shared" ref="K28:S28" si="6">SUM(K14:K27)</f>
        <v>1024169000</v>
      </c>
      <c r="L28" s="33">
        <f t="shared" si="6"/>
        <v>38074870.020000003</v>
      </c>
      <c r="M28" s="33">
        <f t="shared" si="6"/>
        <v>37874870.020000003</v>
      </c>
      <c r="N28" s="33">
        <f t="shared" si="6"/>
        <v>1024369000</v>
      </c>
      <c r="O28" s="33">
        <f t="shared" si="6"/>
        <v>0</v>
      </c>
      <c r="P28" s="33">
        <f t="shared" si="6"/>
        <v>0</v>
      </c>
      <c r="Q28" s="33">
        <f t="shared" si="6"/>
        <v>-30992327.970000003</v>
      </c>
      <c r="R28" s="33">
        <f t="shared" si="6"/>
        <v>993376672.02999997</v>
      </c>
      <c r="S28" s="33">
        <f t="shared" si="6"/>
        <v>501123158.49000001</v>
      </c>
      <c r="T28" s="34">
        <f t="shared" si="2"/>
        <v>0.50446439160478507</v>
      </c>
      <c r="U28" s="33">
        <f>SUM(U14:U27)</f>
        <v>501123158.49000001</v>
      </c>
      <c r="V28" s="34">
        <f t="shared" si="3"/>
        <v>0.50446439160478507</v>
      </c>
      <c r="W28" s="33">
        <f>SUM(W14:W27)</f>
        <v>498692255.27000004</v>
      </c>
      <c r="X28" s="34">
        <f t="shared" si="4"/>
        <v>0.50201728036446136</v>
      </c>
      <c r="Y28" s="5"/>
      <c r="Z28" s="5"/>
      <c r="AA28" s="5"/>
    </row>
    <row r="29" spans="1:27" ht="15" customHeight="1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3"/>
      <c r="L29" s="33"/>
      <c r="M29" s="33"/>
      <c r="N29" s="33"/>
      <c r="O29" s="33"/>
      <c r="P29" s="33"/>
      <c r="Q29" s="33"/>
      <c r="R29" s="33"/>
      <c r="S29" s="33"/>
      <c r="T29" s="34"/>
      <c r="U29" s="33"/>
      <c r="V29" s="34"/>
      <c r="W29" s="33"/>
      <c r="X29" s="34"/>
      <c r="Y29" s="5"/>
      <c r="Z29" s="5"/>
      <c r="AA29" s="5"/>
    </row>
    <row r="30" spans="1:27" ht="15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7"/>
      <c r="L30" s="37"/>
      <c r="M30" s="37"/>
      <c r="N30" s="37"/>
      <c r="O30" s="37"/>
      <c r="P30" s="37"/>
      <c r="Q30" s="37"/>
      <c r="R30" s="37"/>
      <c r="S30" s="37"/>
      <c r="T30" s="32"/>
      <c r="U30" s="37"/>
      <c r="V30" s="32"/>
      <c r="W30" s="37"/>
      <c r="X30" s="32"/>
      <c r="Y30" s="5"/>
      <c r="Z30" s="5"/>
      <c r="AA30" s="5"/>
    </row>
    <row r="31" spans="1:27" ht="54" customHeight="1" x14ac:dyDescent="0.25">
      <c r="A31" s="18" t="s">
        <v>74</v>
      </c>
      <c r="B31" s="27" t="s">
        <v>75</v>
      </c>
      <c r="C31" s="27" t="s">
        <v>47</v>
      </c>
      <c r="D31" s="27" t="s">
        <v>77</v>
      </c>
      <c r="E31" s="27" t="s">
        <v>76</v>
      </c>
      <c r="F31" s="27" t="s">
        <v>111</v>
      </c>
      <c r="G31" s="27" t="s">
        <v>49</v>
      </c>
      <c r="H31" s="27" t="s">
        <v>95</v>
      </c>
      <c r="I31" s="27" t="s">
        <v>104</v>
      </c>
      <c r="J31" s="38">
        <v>4</v>
      </c>
      <c r="K31" s="28">
        <v>43418381</v>
      </c>
      <c r="L31" s="20">
        <v>0</v>
      </c>
      <c r="M31" s="20">
        <v>42680570.689999998</v>
      </c>
      <c r="N31" s="21">
        <f t="shared" ref="N31:N69" si="7">K31+L31-M31</f>
        <v>737810.31000000238</v>
      </c>
      <c r="O31" s="22"/>
      <c r="P31" s="22"/>
      <c r="Q31" s="22"/>
      <c r="R31" s="21">
        <f t="shared" ref="R31:R69" si="8">N31-O31+P31+Q31</f>
        <v>737810.31000000238</v>
      </c>
      <c r="S31" s="31">
        <v>0</v>
      </c>
      <c r="T31" s="23">
        <f t="shared" ref="T31:T71" si="9">IF(R31&gt;0,S31/R31,0)</f>
        <v>0</v>
      </c>
      <c r="U31" s="39">
        <v>0</v>
      </c>
      <c r="V31" s="23">
        <f t="shared" ref="V31:V71" si="10">IF(R31&gt;0,U31/R31,0)</f>
        <v>0</v>
      </c>
      <c r="W31" s="20">
        <v>0</v>
      </c>
      <c r="X31" s="23">
        <f t="shared" ref="X31:X71" si="11">IF(R31&gt;0,W31/R31,0)</f>
        <v>0</v>
      </c>
      <c r="Y31" s="5"/>
      <c r="Z31" s="5"/>
      <c r="AA31" s="5"/>
    </row>
    <row r="32" spans="1:27" ht="54" customHeight="1" x14ac:dyDescent="0.25">
      <c r="A32" s="18" t="s">
        <v>74</v>
      </c>
      <c r="B32" s="27" t="s">
        <v>75</v>
      </c>
      <c r="C32" s="27" t="s">
        <v>47</v>
      </c>
      <c r="D32" s="27" t="s">
        <v>107</v>
      </c>
      <c r="E32" s="27" t="s">
        <v>76</v>
      </c>
      <c r="F32" s="27" t="s">
        <v>111</v>
      </c>
      <c r="G32" s="27" t="s">
        <v>49</v>
      </c>
      <c r="H32" s="27" t="s">
        <v>95</v>
      </c>
      <c r="I32" s="27" t="s">
        <v>104</v>
      </c>
      <c r="J32" s="38">
        <v>4</v>
      </c>
      <c r="K32" s="28">
        <v>0</v>
      </c>
      <c r="L32" s="20">
        <v>3430512.54</v>
      </c>
      <c r="M32" s="20">
        <v>0</v>
      </c>
      <c r="N32" s="21">
        <f t="shared" si="7"/>
        <v>3430512.54</v>
      </c>
      <c r="O32" s="22"/>
      <c r="P32" s="22"/>
      <c r="Q32" s="22"/>
      <c r="R32" s="21">
        <f t="shared" si="8"/>
        <v>3430512.54</v>
      </c>
      <c r="S32" s="31">
        <v>3430512.54</v>
      </c>
      <c r="T32" s="23">
        <f t="shared" si="9"/>
        <v>1</v>
      </c>
      <c r="U32" s="39">
        <v>524272.82</v>
      </c>
      <c r="V32" s="23">
        <f t="shared" si="10"/>
        <v>0.15282638203094864</v>
      </c>
      <c r="W32" s="20">
        <v>524272.82</v>
      </c>
      <c r="X32" s="23">
        <f t="shared" si="11"/>
        <v>0.15282638203094864</v>
      </c>
      <c r="Y32" s="5"/>
      <c r="Z32" s="5"/>
      <c r="AA32" s="5"/>
    </row>
    <row r="33" spans="1:27" ht="54" customHeight="1" x14ac:dyDescent="0.25">
      <c r="A33" s="18" t="s">
        <v>74</v>
      </c>
      <c r="B33" s="27" t="s">
        <v>75</v>
      </c>
      <c r="C33" s="27" t="s">
        <v>47</v>
      </c>
      <c r="D33" s="27" t="s">
        <v>122</v>
      </c>
      <c r="E33" s="27" t="s">
        <v>76</v>
      </c>
      <c r="F33" s="27" t="s">
        <v>111</v>
      </c>
      <c r="G33" s="27" t="s">
        <v>49</v>
      </c>
      <c r="H33" s="27" t="s">
        <v>95</v>
      </c>
      <c r="I33" s="27" t="s">
        <v>104</v>
      </c>
      <c r="J33" s="38">
        <v>4</v>
      </c>
      <c r="K33" s="28">
        <v>0</v>
      </c>
      <c r="L33" s="20">
        <v>2127920.88</v>
      </c>
      <c r="M33" s="20">
        <v>0</v>
      </c>
      <c r="N33" s="21">
        <f t="shared" si="7"/>
        <v>2127920.88</v>
      </c>
      <c r="O33" s="22"/>
      <c r="P33" s="22"/>
      <c r="Q33" s="22"/>
      <c r="R33" s="21">
        <f t="shared" si="8"/>
        <v>2127920.88</v>
      </c>
      <c r="S33" s="31">
        <v>0</v>
      </c>
      <c r="T33" s="23">
        <f t="shared" si="9"/>
        <v>0</v>
      </c>
      <c r="U33" s="39">
        <v>0</v>
      </c>
      <c r="V33" s="23">
        <f t="shared" si="10"/>
        <v>0</v>
      </c>
      <c r="W33" s="20">
        <v>0</v>
      </c>
      <c r="X33" s="23">
        <f t="shared" si="11"/>
        <v>0</v>
      </c>
      <c r="Y33" s="5"/>
      <c r="Z33" s="5"/>
      <c r="AA33" s="5"/>
    </row>
    <row r="34" spans="1:27" ht="54" customHeight="1" x14ac:dyDescent="0.25">
      <c r="A34" s="18" t="s">
        <v>74</v>
      </c>
      <c r="B34" s="27" t="s">
        <v>75</v>
      </c>
      <c r="C34" s="27" t="s">
        <v>47</v>
      </c>
      <c r="D34" s="27" t="s">
        <v>96</v>
      </c>
      <c r="E34" s="27" t="s">
        <v>76</v>
      </c>
      <c r="F34" s="27" t="s">
        <v>111</v>
      </c>
      <c r="G34" s="27" t="s">
        <v>49</v>
      </c>
      <c r="H34" s="27" t="s">
        <v>95</v>
      </c>
      <c r="I34" s="27" t="s">
        <v>104</v>
      </c>
      <c r="J34" s="38">
        <v>4</v>
      </c>
      <c r="K34" s="28">
        <v>0</v>
      </c>
      <c r="L34" s="20">
        <v>36029880.039999999</v>
      </c>
      <c r="M34" s="20">
        <v>0</v>
      </c>
      <c r="N34" s="21">
        <f t="shared" si="7"/>
        <v>36029880.039999999</v>
      </c>
      <c r="O34" s="22"/>
      <c r="P34" s="22"/>
      <c r="Q34" s="22"/>
      <c r="R34" s="21">
        <f t="shared" si="8"/>
        <v>36029880.039999999</v>
      </c>
      <c r="S34" s="31">
        <v>36029880.039999999</v>
      </c>
      <c r="T34" s="23">
        <f t="shared" si="9"/>
        <v>1</v>
      </c>
      <c r="U34" s="39">
        <v>2710535.16</v>
      </c>
      <c r="V34" s="23">
        <f t="shared" si="10"/>
        <v>7.5230202181933215E-2</v>
      </c>
      <c r="W34" s="20">
        <v>2710535.16</v>
      </c>
      <c r="X34" s="23">
        <f t="shared" si="11"/>
        <v>7.5230202181933215E-2</v>
      </c>
      <c r="Y34" s="5"/>
      <c r="Z34" s="5"/>
      <c r="AA34" s="5"/>
    </row>
    <row r="35" spans="1:27" ht="54" customHeight="1" x14ac:dyDescent="0.25">
      <c r="A35" s="18" t="s">
        <v>74</v>
      </c>
      <c r="B35" s="27" t="s">
        <v>75</v>
      </c>
      <c r="C35" s="27" t="s">
        <v>47</v>
      </c>
      <c r="D35" s="27" t="s">
        <v>96</v>
      </c>
      <c r="E35" s="27" t="s">
        <v>76</v>
      </c>
      <c r="F35" s="27" t="s">
        <v>111</v>
      </c>
      <c r="G35" s="27" t="s">
        <v>49</v>
      </c>
      <c r="H35" s="27" t="s">
        <v>105</v>
      </c>
      <c r="I35" s="27" t="s">
        <v>104</v>
      </c>
      <c r="J35" s="38">
        <v>4</v>
      </c>
      <c r="K35" s="28">
        <v>0</v>
      </c>
      <c r="L35" s="20">
        <v>5328628.04</v>
      </c>
      <c r="M35" s="20">
        <v>0</v>
      </c>
      <c r="N35" s="21">
        <f t="shared" si="7"/>
        <v>5328628.04</v>
      </c>
      <c r="O35" s="22"/>
      <c r="P35" s="22"/>
      <c r="Q35" s="22"/>
      <c r="R35" s="21">
        <f t="shared" si="8"/>
        <v>5328628.04</v>
      </c>
      <c r="S35" s="31">
        <v>1061408.77</v>
      </c>
      <c r="T35" s="23">
        <f t="shared" si="9"/>
        <v>0.1991898781510747</v>
      </c>
      <c r="U35" s="39">
        <v>152500</v>
      </c>
      <c r="V35" s="23">
        <f t="shared" si="10"/>
        <v>2.8618998897134505E-2</v>
      </c>
      <c r="W35" s="20">
        <v>152500</v>
      </c>
      <c r="X35" s="23">
        <f t="shared" si="11"/>
        <v>2.8618998897134505E-2</v>
      </c>
      <c r="Y35" s="5"/>
      <c r="Z35" s="5"/>
      <c r="AA35" s="5"/>
    </row>
    <row r="36" spans="1:27" ht="54" customHeight="1" x14ac:dyDescent="0.25">
      <c r="A36" s="18" t="s">
        <v>74</v>
      </c>
      <c r="B36" s="27" t="s">
        <v>75</v>
      </c>
      <c r="C36" s="27" t="s">
        <v>47</v>
      </c>
      <c r="D36" s="27" t="s">
        <v>78</v>
      </c>
      <c r="E36" s="27" t="s">
        <v>76</v>
      </c>
      <c r="F36" s="27" t="s">
        <v>112</v>
      </c>
      <c r="G36" s="27" t="s">
        <v>49</v>
      </c>
      <c r="H36" s="27" t="s">
        <v>95</v>
      </c>
      <c r="I36" s="27" t="s">
        <v>104</v>
      </c>
      <c r="J36" s="38">
        <v>4</v>
      </c>
      <c r="K36" s="28">
        <v>100000</v>
      </c>
      <c r="L36" s="20">
        <v>0</v>
      </c>
      <c r="M36" s="20">
        <v>0</v>
      </c>
      <c r="N36" s="21">
        <f t="shared" si="7"/>
        <v>100000</v>
      </c>
      <c r="O36" s="22"/>
      <c r="P36" s="22"/>
      <c r="Q36" s="22"/>
      <c r="R36" s="21">
        <f t="shared" si="8"/>
        <v>100000</v>
      </c>
      <c r="S36" s="31">
        <v>68940</v>
      </c>
      <c r="T36" s="23">
        <f t="shared" si="9"/>
        <v>0.68940000000000001</v>
      </c>
      <c r="U36" s="39">
        <v>0</v>
      </c>
      <c r="V36" s="23">
        <f t="shared" si="10"/>
        <v>0</v>
      </c>
      <c r="W36" s="20">
        <v>0</v>
      </c>
      <c r="X36" s="23">
        <f t="shared" si="11"/>
        <v>0</v>
      </c>
      <c r="Y36" s="5"/>
      <c r="Z36" s="5"/>
      <c r="AA36" s="5"/>
    </row>
    <row r="37" spans="1:27" ht="54" customHeight="1" x14ac:dyDescent="0.25">
      <c r="A37" s="18" t="s">
        <v>74</v>
      </c>
      <c r="B37" s="27" t="s">
        <v>75</v>
      </c>
      <c r="C37" s="27" t="s">
        <v>47</v>
      </c>
      <c r="D37" s="27" t="s">
        <v>48</v>
      </c>
      <c r="E37" s="27" t="s">
        <v>76</v>
      </c>
      <c r="F37" s="27" t="s">
        <v>113</v>
      </c>
      <c r="G37" s="27" t="s">
        <v>49</v>
      </c>
      <c r="H37" s="27" t="s">
        <v>95</v>
      </c>
      <c r="I37" s="27" t="s">
        <v>104</v>
      </c>
      <c r="J37" s="53">
        <v>3</v>
      </c>
      <c r="K37" s="28">
        <f>61151090-K38</f>
        <v>60651090</v>
      </c>
      <c r="L37" s="20">
        <v>2122220.16</v>
      </c>
      <c r="M37" s="20">
        <v>2452020.16</v>
      </c>
      <c r="N37" s="21">
        <f t="shared" si="7"/>
        <v>60321290</v>
      </c>
      <c r="O37" s="21"/>
      <c r="P37" s="21"/>
      <c r="Q37" s="21"/>
      <c r="R37" s="21">
        <f t="shared" si="8"/>
        <v>60321290</v>
      </c>
      <c r="S37" s="28">
        <f>50573907.32-S38</f>
        <v>50080679.93</v>
      </c>
      <c r="T37" s="23">
        <f t="shared" si="9"/>
        <v>0.83023224354121072</v>
      </c>
      <c r="U37" s="40">
        <f>23935658.21-U38</f>
        <v>23545636.82</v>
      </c>
      <c r="V37" s="23">
        <f t="shared" si="10"/>
        <v>0.39033709027111324</v>
      </c>
      <c r="W37" s="20">
        <f>23777996.05-W38</f>
        <v>23387974.66</v>
      </c>
      <c r="X37" s="23">
        <f t="shared" si="11"/>
        <v>0.38772338356822278</v>
      </c>
      <c r="Y37" s="5"/>
      <c r="Z37" s="5"/>
      <c r="AA37" s="5"/>
    </row>
    <row r="38" spans="1:27" ht="54" customHeight="1" x14ac:dyDescent="0.25">
      <c r="A38" s="18" t="s">
        <v>74</v>
      </c>
      <c r="B38" s="27" t="s">
        <v>75</v>
      </c>
      <c r="C38" s="27" t="s">
        <v>47</v>
      </c>
      <c r="D38" s="27" t="s">
        <v>48</v>
      </c>
      <c r="E38" s="27" t="s">
        <v>76</v>
      </c>
      <c r="F38" s="27" t="s">
        <v>113</v>
      </c>
      <c r="G38" s="27" t="s">
        <v>49</v>
      </c>
      <c r="H38" s="27" t="s">
        <v>95</v>
      </c>
      <c r="I38" s="27" t="s">
        <v>104</v>
      </c>
      <c r="J38" s="38">
        <v>4</v>
      </c>
      <c r="K38" s="28">
        <v>500000</v>
      </c>
      <c r="L38" s="20">
        <v>0</v>
      </c>
      <c r="M38" s="20">
        <v>0</v>
      </c>
      <c r="N38" s="21">
        <f t="shared" si="7"/>
        <v>500000</v>
      </c>
      <c r="O38" s="21"/>
      <c r="P38" s="21"/>
      <c r="Q38" s="21"/>
      <c r="R38" s="21">
        <f t="shared" si="8"/>
        <v>500000</v>
      </c>
      <c r="S38" s="20">
        <f>99765.9+28304.26+230634+134523.23</f>
        <v>493227.39</v>
      </c>
      <c r="T38" s="23">
        <f t="shared" si="9"/>
        <v>0.98645477999999998</v>
      </c>
      <c r="U38" s="39">
        <f>99765.9+19124.5+230634+40496.99</f>
        <v>390021.39</v>
      </c>
      <c r="V38" s="23">
        <f t="shared" si="10"/>
        <v>0.78004278000000005</v>
      </c>
      <c r="W38" s="20">
        <f>99765.9+19124.5+230634+40496.99</f>
        <v>390021.39</v>
      </c>
      <c r="X38" s="23">
        <f t="shared" si="11"/>
        <v>0.78004278000000005</v>
      </c>
      <c r="Y38" s="5"/>
      <c r="Z38" s="5"/>
      <c r="AA38" s="5"/>
    </row>
    <row r="39" spans="1:27" ht="54" customHeight="1" x14ac:dyDescent="0.25">
      <c r="A39" s="18" t="s">
        <v>74</v>
      </c>
      <c r="B39" s="27" t="s">
        <v>75</v>
      </c>
      <c r="C39" s="27" t="s">
        <v>47</v>
      </c>
      <c r="D39" s="27" t="s">
        <v>48</v>
      </c>
      <c r="E39" s="27" t="s">
        <v>76</v>
      </c>
      <c r="F39" s="27" t="s">
        <v>113</v>
      </c>
      <c r="G39" s="27" t="s">
        <v>49</v>
      </c>
      <c r="H39" s="27" t="s">
        <v>105</v>
      </c>
      <c r="I39" s="27" t="s">
        <v>104</v>
      </c>
      <c r="J39" s="53">
        <v>3</v>
      </c>
      <c r="K39" s="28">
        <v>0</v>
      </c>
      <c r="L39" s="29">
        <f>15077789.18-L40</f>
        <v>14556768.18</v>
      </c>
      <c r="M39" s="29">
        <v>160000</v>
      </c>
      <c r="N39" s="21">
        <f t="shared" si="7"/>
        <v>14396768.18</v>
      </c>
      <c r="O39" s="30"/>
      <c r="P39" s="30"/>
      <c r="Q39" s="30"/>
      <c r="R39" s="21">
        <f t="shared" si="8"/>
        <v>14396768.18</v>
      </c>
      <c r="S39" s="29">
        <v>4426144.63</v>
      </c>
      <c r="T39" s="23">
        <f t="shared" si="9"/>
        <v>0.30744015425273036</v>
      </c>
      <c r="U39" s="40">
        <v>109639.63</v>
      </c>
      <c r="V39" s="23">
        <f t="shared" si="10"/>
        <v>7.6155723721599861E-3</v>
      </c>
      <c r="W39" s="29">
        <v>109639.63</v>
      </c>
      <c r="X39" s="23">
        <f t="shared" si="11"/>
        <v>7.6155723721599861E-3</v>
      </c>
      <c r="Y39" s="5"/>
      <c r="Z39" s="5"/>
      <c r="AA39" s="5"/>
    </row>
    <row r="40" spans="1:27" ht="54" customHeight="1" x14ac:dyDescent="0.25">
      <c r="A40" s="18" t="s">
        <v>74</v>
      </c>
      <c r="B40" s="27" t="s">
        <v>75</v>
      </c>
      <c r="C40" s="27" t="s">
        <v>47</v>
      </c>
      <c r="D40" s="27" t="s">
        <v>48</v>
      </c>
      <c r="E40" s="27" t="s">
        <v>76</v>
      </c>
      <c r="F40" s="27" t="s">
        <v>113</v>
      </c>
      <c r="G40" s="27" t="s">
        <v>49</v>
      </c>
      <c r="H40" s="27" t="s">
        <v>105</v>
      </c>
      <c r="I40" s="27" t="s">
        <v>104</v>
      </c>
      <c r="J40" s="38">
        <v>4</v>
      </c>
      <c r="K40" s="28">
        <v>0</v>
      </c>
      <c r="L40" s="29">
        <v>521021</v>
      </c>
      <c r="M40" s="29">
        <v>0</v>
      </c>
      <c r="N40" s="21">
        <f t="shared" si="7"/>
        <v>521021</v>
      </c>
      <c r="O40" s="30"/>
      <c r="P40" s="30"/>
      <c r="Q40" s="30"/>
      <c r="R40" s="21">
        <f t="shared" si="8"/>
        <v>521021</v>
      </c>
      <c r="S40" s="29">
        <v>0</v>
      </c>
      <c r="T40" s="23">
        <f t="shared" si="9"/>
        <v>0</v>
      </c>
      <c r="U40" s="39">
        <v>0</v>
      </c>
      <c r="V40" s="23">
        <f t="shared" si="10"/>
        <v>0</v>
      </c>
      <c r="W40" s="29">
        <v>0</v>
      </c>
      <c r="X40" s="23">
        <f t="shared" si="11"/>
        <v>0</v>
      </c>
      <c r="Y40" s="5"/>
      <c r="Z40" s="5"/>
      <c r="AA40" s="5"/>
    </row>
    <row r="41" spans="1:27" ht="54" customHeight="1" x14ac:dyDescent="0.25">
      <c r="A41" s="18" t="s">
        <v>74</v>
      </c>
      <c r="B41" s="27" t="s">
        <v>75</v>
      </c>
      <c r="C41" s="27" t="s">
        <v>47</v>
      </c>
      <c r="D41" s="27" t="s">
        <v>50</v>
      </c>
      <c r="E41" s="27" t="s">
        <v>76</v>
      </c>
      <c r="F41" s="27" t="s">
        <v>79</v>
      </c>
      <c r="G41" s="27" t="s">
        <v>49</v>
      </c>
      <c r="H41" s="27" t="s">
        <v>95</v>
      </c>
      <c r="I41" s="27" t="s">
        <v>104</v>
      </c>
      <c r="J41" s="53">
        <v>3</v>
      </c>
      <c r="K41" s="28">
        <v>100000</v>
      </c>
      <c r="L41" s="29">
        <v>0</v>
      </c>
      <c r="M41" s="29">
        <v>0</v>
      </c>
      <c r="N41" s="30">
        <f t="shared" si="7"/>
        <v>100000</v>
      </c>
      <c r="O41" s="30"/>
      <c r="P41" s="30"/>
      <c r="Q41" s="30"/>
      <c r="R41" s="30">
        <f t="shared" si="8"/>
        <v>100000</v>
      </c>
      <c r="S41" s="29">
        <v>0</v>
      </c>
      <c r="T41" s="32">
        <f t="shared" si="9"/>
        <v>0</v>
      </c>
      <c r="U41" s="40">
        <v>0</v>
      </c>
      <c r="V41" s="32">
        <f t="shared" si="10"/>
        <v>0</v>
      </c>
      <c r="W41" s="29">
        <v>0</v>
      </c>
      <c r="X41" s="32">
        <f t="shared" si="11"/>
        <v>0</v>
      </c>
      <c r="Y41" s="5"/>
      <c r="Z41" s="5"/>
      <c r="AA41" s="5"/>
    </row>
    <row r="42" spans="1:27" ht="52.5" customHeight="1" x14ac:dyDescent="0.25">
      <c r="A42" s="18" t="s">
        <v>74</v>
      </c>
      <c r="B42" s="27" t="s">
        <v>75</v>
      </c>
      <c r="C42" s="27" t="s">
        <v>47</v>
      </c>
      <c r="D42" s="27" t="s">
        <v>50</v>
      </c>
      <c r="E42" s="27" t="s">
        <v>76</v>
      </c>
      <c r="F42" s="27" t="s">
        <v>79</v>
      </c>
      <c r="G42" s="27" t="s">
        <v>49</v>
      </c>
      <c r="H42" s="27" t="s">
        <v>105</v>
      </c>
      <c r="I42" s="27" t="s">
        <v>104</v>
      </c>
      <c r="J42" s="53">
        <v>3</v>
      </c>
      <c r="K42" s="28">
        <v>0</v>
      </c>
      <c r="L42" s="29">
        <v>6250000</v>
      </c>
      <c r="M42" s="29">
        <v>0</v>
      </c>
      <c r="N42" s="30">
        <f t="shared" si="7"/>
        <v>6250000</v>
      </c>
      <c r="O42" s="30"/>
      <c r="P42" s="30"/>
      <c r="Q42" s="30"/>
      <c r="R42" s="30">
        <f t="shared" si="8"/>
        <v>6250000</v>
      </c>
      <c r="S42" s="31">
        <v>4838994.91</v>
      </c>
      <c r="T42" s="32">
        <f t="shared" si="9"/>
        <v>0.77423918560000005</v>
      </c>
      <c r="U42" s="40">
        <v>4838994.91</v>
      </c>
      <c r="V42" s="32">
        <f t="shared" si="10"/>
        <v>0.77423918560000005</v>
      </c>
      <c r="W42" s="29">
        <v>4838994.91</v>
      </c>
      <c r="X42" s="32">
        <f t="shared" si="11"/>
        <v>0.77423918560000005</v>
      </c>
      <c r="Y42" s="5"/>
      <c r="Z42" s="5"/>
      <c r="AA42" s="5"/>
    </row>
    <row r="43" spans="1:27" ht="67.2" x14ac:dyDescent="0.25">
      <c r="A43" s="18" t="s">
        <v>74</v>
      </c>
      <c r="B43" s="27" t="s">
        <v>75</v>
      </c>
      <c r="C43" s="27" t="s">
        <v>47</v>
      </c>
      <c r="D43" s="27" t="s">
        <v>80</v>
      </c>
      <c r="E43" s="27" t="s">
        <v>56</v>
      </c>
      <c r="F43" s="27" t="s">
        <v>114</v>
      </c>
      <c r="G43" s="27" t="s">
        <v>49</v>
      </c>
      <c r="H43" s="27" t="s">
        <v>95</v>
      </c>
      <c r="I43" s="27" t="s">
        <v>104</v>
      </c>
      <c r="J43" s="38">
        <v>4</v>
      </c>
      <c r="K43" s="28">
        <v>17334789</v>
      </c>
      <c r="L43" s="29">
        <v>0</v>
      </c>
      <c r="M43" s="29">
        <v>17334789</v>
      </c>
      <c r="N43" s="30">
        <f t="shared" si="7"/>
        <v>0</v>
      </c>
      <c r="O43" s="30"/>
      <c r="P43" s="30"/>
      <c r="Q43" s="30"/>
      <c r="R43" s="30">
        <f t="shared" si="8"/>
        <v>0</v>
      </c>
      <c r="S43" s="31">
        <v>0</v>
      </c>
      <c r="T43" s="32">
        <f t="shared" si="9"/>
        <v>0</v>
      </c>
      <c r="U43" s="39">
        <v>0</v>
      </c>
      <c r="V43" s="32">
        <f t="shared" si="10"/>
        <v>0</v>
      </c>
      <c r="W43" s="29">
        <v>0</v>
      </c>
      <c r="X43" s="32">
        <f t="shared" si="11"/>
        <v>0</v>
      </c>
      <c r="Y43" s="5"/>
      <c r="Z43" s="5"/>
      <c r="AA43" s="5"/>
    </row>
    <row r="44" spans="1:27" ht="67.2" x14ac:dyDescent="0.25">
      <c r="A44" s="18" t="s">
        <v>74</v>
      </c>
      <c r="B44" s="27" t="s">
        <v>75</v>
      </c>
      <c r="C44" s="27" t="s">
        <v>47</v>
      </c>
      <c r="D44" s="27" t="s">
        <v>98</v>
      </c>
      <c r="E44" s="27" t="s">
        <v>56</v>
      </c>
      <c r="F44" s="27" t="s">
        <v>114</v>
      </c>
      <c r="G44" s="27" t="s">
        <v>49</v>
      </c>
      <c r="H44" s="27" t="s">
        <v>95</v>
      </c>
      <c r="I44" s="27" t="s">
        <v>104</v>
      </c>
      <c r="J44" s="38">
        <v>4</v>
      </c>
      <c r="K44" s="28">
        <v>0</v>
      </c>
      <c r="L44" s="29">
        <v>18427046.23</v>
      </c>
      <c r="M44" s="29">
        <v>0</v>
      </c>
      <c r="N44" s="30">
        <f t="shared" si="7"/>
        <v>18427046.23</v>
      </c>
      <c r="O44" s="30"/>
      <c r="P44" s="30"/>
      <c r="Q44" s="30"/>
      <c r="R44" s="30">
        <f t="shared" si="8"/>
        <v>18427046.23</v>
      </c>
      <c r="S44" s="31">
        <v>17662578.789999999</v>
      </c>
      <c r="T44" s="32">
        <f t="shared" si="9"/>
        <v>0.95851383719028083</v>
      </c>
      <c r="U44" s="39">
        <v>3211365.33</v>
      </c>
      <c r="V44" s="32">
        <f t="shared" si="10"/>
        <v>0.1742745576212732</v>
      </c>
      <c r="W44" s="29">
        <v>3211365.33</v>
      </c>
      <c r="X44" s="32">
        <f t="shared" si="11"/>
        <v>0.1742745576212732</v>
      </c>
      <c r="Y44" s="5"/>
      <c r="Z44" s="5"/>
      <c r="AA44" s="5"/>
    </row>
    <row r="45" spans="1:27" ht="65.25" customHeight="1" x14ac:dyDescent="0.25">
      <c r="A45" s="18" t="s">
        <v>74</v>
      </c>
      <c r="B45" s="27" t="s">
        <v>75</v>
      </c>
      <c r="C45" s="27" t="s">
        <v>47</v>
      </c>
      <c r="D45" s="27" t="s">
        <v>98</v>
      </c>
      <c r="E45" s="27" t="s">
        <v>56</v>
      </c>
      <c r="F45" s="27" t="s">
        <v>114</v>
      </c>
      <c r="G45" s="27" t="s">
        <v>49</v>
      </c>
      <c r="H45" s="27" t="s">
        <v>105</v>
      </c>
      <c r="I45" s="27" t="s">
        <v>104</v>
      </c>
      <c r="J45" s="56">
        <v>3</v>
      </c>
      <c r="K45" s="28">
        <v>0</v>
      </c>
      <c r="L45" s="29">
        <v>39223.199999999997</v>
      </c>
      <c r="M45" s="29">
        <v>0</v>
      </c>
      <c r="N45" s="30">
        <f t="shared" si="7"/>
        <v>39223.199999999997</v>
      </c>
      <c r="O45" s="30"/>
      <c r="P45" s="30"/>
      <c r="Q45" s="30"/>
      <c r="R45" s="30">
        <f t="shared" si="8"/>
        <v>39223.199999999997</v>
      </c>
      <c r="S45" s="31">
        <v>39223.199999999997</v>
      </c>
      <c r="T45" s="32">
        <f t="shared" si="9"/>
        <v>1</v>
      </c>
      <c r="U45" s="58">
        <v>0</v>
      </c>
      <c r="V45" s="32">
        <f t="shared" si="10"/>
        <v>0</v>
      </c>
      <c r="W45" s="29">
        <v>0</v>
      </c>
      <c r="X45" s="32">
        <f t="shared" si="11"/>
        <v>0</v>
      </c>
      <c r="Y45" s="5"/>
      <c r="Z45" s="5"/>
      <c r="AA45" s="5"/>
    </row>
    <row r="46" spans="1:27" ht="65.25" customHeight="1" x14ac:dyDescent="0.25">
      <c r="A46" s="18" t="s">
        <v>74</v>
      </c>
      <c r="B46" s="27" t="s">
        <v>75</v>
      </c>
      <c r="C46" s="27" t="s">
        <v>47</v>
      </c>
      <c r="D46" s="27" t="s">
        <v>98</v>
      </c>
      <c r="E46" s="27" t="s">
        <v>56</v>
      </c>
      <c r="F46" s="27" t="s">
        <v>114</v>
      </c>
      <c r="G46" s="27" t="s">
        <v>49</v>
      </c>
      <c r="H46" s="27" t="s">
        <v>105</v>
      </c>
      <c r="I46" s="27" t="s">
        <v>104</v>
      </c>
      <c r="J46" s="38">
        <v>4</v>
      </c>
      <c r="K46" s="28">
        <v>0</v>
      </c>
      <c r="L46" s="29">
        <v>521578.5</v>
      </c>
      <c r="M46" s="29">
        <v>0</v>
      </c>
      <c r="N46" s="30">
        <f t="shared" si="7"/>
        <v>521578.5</v>
      </c>
      <c r="O46" s="30"/>
      <c r="P46" s="30"/>
      <c r="Q46" s="30"/>
      <c r="R46" s="30">
        <f t="shared" si="8"/>
        <v>521578.5</v>
      </c>
      <c r="S46" s="31">
        <v>0</v>
      </c>
      <c r="T46" s="32">
        <f t="shared" si="9"/>
        <v>0</v>
      </c>
      <c r="U46" s="39">
        <v>0</v>
      </c>
      <c r="V46" s="32">
        <f t="shared" si="10"/>
        <v>0</v>
      </c>
      <c r="W46" s="29">
        <v>0</v>
      </c>
      <c r="X46" s="32">
        <f t="shared" si="11"/>
        <v>0</v>
      </c>
      <c r="Y46" s="5"/>
      <c r="Z46" s="5"/>
      <c r="AA46" s="5"/>
    </row>
    <row r="47" spans="1:27" ht="67.2" x14ac:dyDescent="0.25">
      <c r="A47" s="18" t="s">
        <v>74</v>
      </c>
      <c r="B47" s="27" t="s">
        <v>75</v>
      </c>
      <c r="C47" s="27" t="s">
        <v>47</v>
      </c>
      <c r="D47" s="27" t="s">
        <v>81</v>
      </c>
      <c r="E47" s="27" t="s">
        <v>56</v>
      </c>
      <c r="F47" s="27" t="s">
        <v>115</v>
      </c>
      <c r="G47" s="27" t="s">
        <v>49</v>
      </c>
      <c r="H47" s="27" t="s">
        <v>95</v>
      </c>
      <c r="I47" s="27" t="s">
        <v>104</v>
      </c>
      <c r="J47" s="38">
        <v>4</v>
      </c>
      <c r="K47" s="28">
        <v>50000</v>
      </c>
      <c r="L47" s="29">
        <v>0</v>
      </c>
      <c r="M47" s="29">
        <v>0</v>
      </c>
      <c r="N47" s="30">
        <f t="shared" si="7"/>
        <v>50000</v>
      </c>
      <c r="O47" s="30"/>
      <c r="P47" s="30"/>
      <c r="Q47" s="30"/>
      <c r="R47" s="30">
        <f t="shared" si="8"/>
        <v>50000</v>
      </c>
      <c r="S47" s="31">
        <v>0</v>
      </c>
      <c r="T47" s="32">
        <f t="shared" si="9"/>
        <v>0</v>
      </c>
      <c r="U47" s="39">
        <v>0</v>
      </c>
      <c r="V47" s="32">
        <f t="shared" si="10"/>
        <v>0</v>
      </c>
      <c r="W47" s="29">
        <v>0</v>
      </c>
      <c r="X47" s="32">
        <f t="shared" si="11"/>
        <v>0</v>
      </c>
      <c r="Y47" s="5"/>
      <c r="Z47" s="5"/>
      <c r="AA47" s="5"/>
    </row>
    <row r="48" spans="1:27" ht="67.2" x14ac:dyDescent="0.25">
      <c r="A48" s="18" t="s">
        <v>74</v>
      </c>
      <c r="B48" s="27" t="s">
        <v>75</v>
      </c>
      <c r="C48" s="27" t="s">
        <v>47</v>
      </c>
      <c r="D48" s="27" t="s">
        <v>116</v>
      </c>
      <c r="E48" s="27" t="s">
        <v>56</v>
      </c>
      <c r="F48" s="27" t="s">
        <v>117</v>
      </c>
      <c r="G48" s="27" t="s">
        <v>49</v>
      </c>
      <c r="H48" s="27" t="s">
        <v>95</v>
      </c>
      <c r="I48" s="27" t="s">
        <v>104</v>
      </c>
      <c r="J48" s="53">
        <v>3</v>
      </c>
      <c r="K48" s="28">
        <v>750000</v>
      </c>
      <c r="L48" s="29">
        <v>329800</v>
      </c>
      <c r="M48" s="29">
        <v>0</v>
      </c>
      <c r="N48" s="30">
        <f t="shared" si="7"/>
        <v>1079800</v>
      </c>
      <c r="O48" s="30"/>
      <c r="P48" s="30"/>
      <c r="Q48" s="30"/>
      <c r="R48" s="30">
        <f t="shared" si="8"/>
        <v>1079800</v>
      </c>
      <c r="S48" s="31">
        <v>1079800</v>
      </c>
      <c r="T48" s="32">
        <f t="shared" si="9"/>
        <v>1</v>
      </c>
      <c r="U48" s="58">
        <v>0</v>
      </c>
      <c r="V48" s="32">
        <f t="shared" si="10"/>
        <v>0</v>
      </c>
      <c r="W48" s="29">
        <v>0</v>
      </c>
      <c r="X48" s="32">
        <f t="shared" si="11"/>
        <v>0</v>
      </c>
      <c r="Y48" s="5"/>
      <c r="Z48" s="5"/>
      <c r="AA48" s="5"/>
    </row>
    <row r="49" spans="1:27" ht="67.2" x14ac:dyDescent="0.25">
      <c r="A49" s="18" t="s">
        <v>74</v>
      </c>
      <c r="B49" s="27" t="s">
        <v>75</v>
      </c>
      <c r="C49" s="27" t="s">
        <v>47</v>
      </c>
      <c r="D49" s="27" t="s">
        <v>55</v>
      </c>
      <c r="E49" s="27" t="s">
        <v>56</v>
      </c>
      <c r="F49" s="27" t="s">
        <v>57</v>
      </c>
      <c r="G49" s="27" t="s">
        <v>49</v>
      </c>
      <c r="H49" s="27" t="s">
        <v>95</v>
      </c>
      <c r="I49" s="27" t="s">
        <v>104</v>
      </c>
      <c r="J49" s="53">
        <v>3</v>
      </c>
      <c r="K49" s="28">
        <v>50000</v>
      </c>
      <c r="L49" s="20">
        <v>0</v>
      </c>
      <c r="M49" s="20">
        <v>0</v>
      </c>
      <c r="N49" s="21">
        <f t="shared" si="7"/>
        <v>50000</v>
      </c>
      <c r="O49" s="21"/>
      <c r="P49" s="21"/>
      <c r="Q49" s="21"/>
      <c r="R49" s="21">
        <f t="shared" si="8"/>
        <v>50000</v>
      </c>
      <c r="S49" s="31">
        <v>0</v>
      </c>
      <c r="T49" s="23">
        <f t="shared" si="9"/>
        <v>0</v>
      </c>
      <c r="U49" s="40">
        <v>0</v>
      </c>
      <c r="V49" s="23">
        <f t="shared" si="10"/>
        <v>0</v>
      </c>
      <c r="W49" s="20">
        <v>0</v>
      </c>
      <c r="X49" s="23">
        <f t="shared" si="11"/>
        <v>0</v>
      </c>
      <c r="Y49" s="5"/>
      <c r="Z49" s="5"/>
      <c r="AA49" s="5"/>
    </row>
    <row r="50" spans="1:27" ht="69.75" customHeight="1" x14ac:dyDescent="0.25">
      <c r="A50" s="18" t="s">
        <v>74</v>
      </c>
      <c r="B50" s="27" t="s">
        <v>75</v>
      </c>
      <c r="C50" s="27" t="s">
        <v>47</v>
      </c>
      <c r="D50" s="27" t="s">
        <v>55</v>
      </c>
      <c r="E50" s="27" t="s">
        <v>56</v>
      </c>
      <c r="F50" s="27" t="s">
        <v>57</v>
      </c>
      <c r="G50" s="27" t="s">
        <v>49</v>
      </c>
      <c r="H50" s="27" t="s">
        <v>105</v>
      </c>
      <c r="I50" s="27" t="s">
        <v>104</v>
      </c>
      <c r="J50" s="53">
        <v>3</v>
      </c>
      <c r="K50" s="28">
        <v>0</v>
      </c>
      <c r="L50" s="20">
        <v>420000</v>
      </c>
      <c r="M50" s="20">
        <v>0</v>
      </c>
      <c r="N50" s="21">
        <f t="shared" si="7"/>
        <v>420000</v>
      </c>
      <c r="O50" s="21"/>
      <c r="P50" s="21"/>
      <c r="Q50" s="21"/>
      <c r="R50" s="21">
        <f t="shared" si="8"/>
        <v>420000</v>
      </c>
      <c r="S50" s="57">
        <v>309703.31</v>
      </c>
      <c r="T50" s="23">
        <f t="shared" si="9"/>
        <v>0.73738883333333338</v>
      </c>
      <c r="U50" s="40">
        <v>309703.31</v>
      </c>
      <c r="V50" s="23">
        <f t="shared" si="10"/>
        <v>0.73738883333333338</v>
      </c>
      <c r="W50" s="20">
        <v>309703.31</v>
      </c>
      <c r="X50" s="23">
        <f t="shared" si="11"/>
        <v>0.73738883333333338</v>
      </c>
      <c r="Y50" s="5"/>
      <c r="Z50" s="5"/>
      <c r="AA50" s="5"/>
    </row>
    <row r="51" spans="1:27" ht="67.2" x14ac:dyDescent="0.25">
      <c r="A51" s="18" t="s">
        <v>74</v>
      </c>
      <c r="B51" s="27" t="s">
        <v>75</v>
      </c>
      <c r="C51" s="27" t="s">
        <v>47</v>
      </c>
      <c r="D51" s="27" t="s">
        <v>82</v>
      </c>
      <c r="E51" s="27" t="s">
        <v>56</v>
      </c>
      <c r="F51" s="27" t="s">
        <v>109</v>
      </c>
      <c r="G51" s="27" t="s">
        <v>49</v>
      </c>
      <c r="H51" s="27" t="s">
        <v>95</v>
      </c>
      <c r="I51" s="27" t="s">
        <v>104</v>
      </c>
      <c r="J51" s="53">
        <v>3</v>
      </c>
      <c r="K51" s="28">
        <f>37007920-K52</f>
        <v>36751090</v>
      </c>
      <c r="L51" s="20">
        <v>1063000.48</v>
      </c>
      <c r="M51" s="20">
        <v>1063000.48</v>
      </c>
      <c r="N51" s="21">
        <f t="shared" si="7"/>
        <v>36751090</v>
      </c>
      <c r="O51" s="21"/>
      <c r="P51" s="21"/>
      <c r="Q51" s="21"/>
      <c r="R51" s="21">
        <f t="shared" si="8"/>
        <v>36751090</v>
      </c>
      <c r="S51" s="20">
        <f>33083952.65-S52</f>
        <v>32833538.989999998</v>
      </c>
      <c r="T51" s="23">
        <f t="shared" si="9"/>
        <v>0.8934031341655444</v>
      </c>
      <c r="U51" s="40">
        <f>18811355.26-U52</f>
        <v>18612760.360000003</v>
      </c>
      <c r="V51" s="23">
        <f t="shared" si="10"/>
        <v>0.5064546482839013</v>
      </c>
      <c r="W51" s="20">
        <f>18665755-W52</f>
        <v>18467160.100000001</v>
      </c>
      <c r="X51" s="23">
        <f t="shared" si="11"/>
        <v>0.50249285395344745</v>
      </c>
      <c r="Y51" s="5"/>
      <c r="Z51" s="5"/>
      <c r="AA51" s="5"/>
    </row>
    <row r="52" spans="1:27" ht="67.2" x14ac:dyDescent="0.25">
      <c r="A52" s="18" t="s">
        <v>74</v>
      </c>
      <c r="B52" s="27" t="s">
        <v>75</v>
      </c>
      <c r="C52" s="27" t="s">
        <v>47</v>
      </c>
      <c r="D52" s="27" t="s">
        <v>82</v>
      </c>
      <c r="E52" s="27" t="s">
        <v>56</v>
      </c>
      <c r="F52" s="27" t="s">
        <v>109</v>
      </c>
      <c r="G52" s="27" t="s">
        <v>49</v>
      </c>
      <c r="H52" s="27" t="s">
        <v>95</v>
      </c>
      <c r="I52" s="27" t="s">
        <v>104</v>
      </c>
      <c r="J52" s="38">
        <v>4</v>
      </c>
      <c r="K52" s="28">
        <f>256830</f>
        <v>256830</v>
      </c>
      <c r="L52" s="20">
        <v>0</v>
      </c>
      <c r="M52" s="20">
        <v>0</v>
      </c>
      <c r="N52" s="21">
        <f t="shared" si="7"/>
        <v>256830</v>
      </c>
      <c r="O52" s="21"/>
      <c r="P52" s="21"/>
      <c r="Q52" s="21"/>
      <c r="R52" s="21">
        <f t="shared" si="8"/>
        <v>256830</v>
      </c>
      <c r="S52" s="20">
        <f>1210+6200+7213.12+43395.64+192394.9</f>
        <v>250413.65999999997</v>
      </c>
      <c r="T52" s="23">
        <f t="shared" si="9"/>
        <v>0.97501717089125095</v>
      </c>
      <c r="U52" s="39">
        <f>6200+192394.9</f>
        <v>198594.9</v>
      </c>
      <c r="V52" s="23">
        <f t="shared" si="10"/>
        <v>0.77325429272281276</v>
      </c>
      <c r="W52" s="20">
        <f>6200+192394.9</f>
        <v>198594.9</v>
      </c>
      <c r="X52" s="23">
        <f t="shared" si="11"/>
        <v>0.77325429272281276</v>
      </c>
      <c r="Y52" s="5"/>
      <c r="Z52" s="5"/>
      <c r="AA52" s="5"/>
    </row>
    <row r="53" spans="1:27" ht="63" customHeight="1" x14ac:dyDescent="0.25">
      <c r="A53" s="18" t="s">
        <v>74</v>
      </c>
      <c r="B53" s="27" t="s">
        <v>75</v>
      </c>
      <c r="C53" s="19" t="s">
        <v>47</v>
      </c>
      <c r="D53" s="19" t="s">
        <v>82</v>
      </c>
      <c r="E53" s="27" t="s">
        <v>56</v>
      </c>
      <c r="F53" s="27" t="s">
        <v>109</v>
      </c>
      <c r="G53" s="19" t="s">
        <v>49</v>
      </c>
      <c r="H53" s="19" t="s">
        <v>105</v>
      </c>
      <c r="I53" s="27" t="s">
        <v>104</v>
      </c>
      <c r="J53" s="53">
        <v>3</v>
      </c>
      <c r="K53" s="28">
        <v>0</v>
      </c>
      <c r="L53" s="20">
        <f>6243066.38-L54</f>
        <v>6232092.3799999999</v>
      </c>
      <c r="M53" s="20">
        <v>50000</v>
      </c>
      <c r="N53" s="21">
        <f t="shared" si="7"/>
        <v>6182092.3799999999</v>
      </c>
      <c r="O53" s="21"/>
      <c r="P53" s="21"/>
      <c r="Q53" s="21"/>
      <c r="R53" s="21">
        <f t="shared" si="8"/>
        <v>6182092.3799999999</v>
      </c>
      <c r="S53" s="29">
        <f>2586378.15-S54</f>
        <v>2575404.15</v>
      </c>
      <c r="T53" s="23">
        <f t="shared" si="9"/>
        <v>0.41659101671334131</v>
      </c>
      <c r="U53" s="40">
        <v>1687404.15</v>
      </c>
      <c r="V53" s="23">
        <f t="shared" si="10"/>
        <v>0.27295032915700296</v>
      </c>
      <c r="W53" s="20">
        <v>1687404.15</v>
      </c>
      <c r="X53" s="23">
        <f t="shared" si="11"/>
        <v>0.27295032915700296</v>
      </c>
      <c r="Y53" s="5"/>
      <c r="Z53" s="5"/>
      <c r="AA53" s="5"/>
    </row>
    <row r="54" spans="1:27" ht="63" customHeight="1" x14ac:dyDescent="0.25">
      <c r="A54" s="18" t="s">
        <v>74</v>
      </c>
      <c r="B54" s="27" t="s">
        <v>75</v>
      </c>
      <c r="C54" s="19" t="s">
        <v>47</v>
      </c>
      <c r="D54" s="19" t="s">
        <v>82</v>
      </c>
      <c r="E54" s="27" t="s">
        <v>56</v>
      </c>
      <c r="F54" s="27" t="s">
        <v>109</v>
      </c>
      <c r="G54" s="19" t="s">
        <v>49</v>
      </c>
      <c r="H54" s="19" t="s">
        <v>105</v>
      </c>
      <c r="I54" s="27" t="s">
        <v>104</v>
      </c>
      <c r="J54" s="38">
        <v>4</v>
      </c>
      <c r="K54" s="28">
        <v>0</v>
      </c>
      <c r="L54" s="20">
        <v>10974</v>
      </c>
      <c r="M54" s="20">
        <v>0</v>
      </c>
      <c r="N54" s="21">
        <f t="shared" si="7"/>
        <v>10974</v>
      </c>
      <c r="O54" s="21"/>
      <c r="P54" s="21"/>
      <c r="Q54" s="21"/>
      <c r="R54" s="21">
        <f t="shared" si="8"/>
        <v>10974</v>
      </c>
      <c r="S54" s="29">
        <f>10350+624</f>
        <v>10974</v>
      </c>
      <c r="T54" s="23">
        <f t="shared" si="9"/>
        <v>1</v>
      </c>
      <c r="U54" s="39">
        <v>0</v>
      </c>
      <c r="V54" s="23">
        <f t="shared" si="10"/>
        <v>0</v>
      </c>
      <c r="W54" s="20">
        <v>0</v>
      </c>
      <c r="X54" s="23">
        <f t="shared" si="11"/>
        <v>0</v>
      </c>
      <c r="Y54" s="5"/>
      <c r="Z54" s="5"/>
      <c r="AA54" s="5"/>
    </row>
    <row r="55" spans="1:27" ht="63" customHeight="1" x14ac:dyDescent="0.25">
      <c r="A55" s="18" t="s">
        <v>74</v>
      </c>
      <c r="B55" s="19" t="s">
        <v>75</v>
      </c>
      <c r="C55" s="19" t="s">
        <v>47</v>
      </c>
      <c r="D55" s="19" t="s">
        <v>83</v>
      </c>
      <c r="E55" s="27" t="s">
        <v>56</v>
      </c>
      <c r="F55" s="19" t="s">
        <v>118</v>
      </c>
      <c r="G55" s="19" t="s">
        <v>49</v>
      </c>
      <c r="H55" s="19" t="s">
        <v>95</v>
      </c>
      <c r="I55" s="27" t="s">
        <v>104</v>
      </c>
      <c r="J55" s="53">
        <v>3</v>
      </c>
      <c r="K55" s="28">
        <v>960000</v>
      </c>
      <c r="L55" s="20">
        <v>50000</v>
      </c>
      <c r="M55" s="20">
        <v>50000</v>
      </c>
      <c r="N55" s="21">
        <f t="shared" si="7"/>
        <v>960000</v>
      </c>
      <c r="O55" s="21"/>
      <c r="P55" s="21"/>
      <c r="Q55" s="21"/>
      <c r="R55" s="21">
        <f t="shared" si="8"/>
        <v>960000</v>
      </c>
      <c r="S55" s="29">
        <v>606716.80000000005</v>
      </c>
      <c r="T55" s="23">
        <f t="shared" si="9"/>
        <v>0.63199666666666676</v>
      </c>
      <c r="U55" s="40">
        <v>606716.80000000005</v>
      </c>
      <c r="V55" s="23">
        <f t="shared" si="10"/>
        <v>0.63199666666666676</v>
      </c>
      <c r="W55" s="20">
        <v>601217.18999999994</v>
      </c>
      <c r="X55" s="23">
        <f t="shared" si="11"/>
        <v>0.62626790624999995</v>
      </c>
      <c r="Y55" s="5"/>
      <c r="Z55" s="5"/>
      <c r="AA55" s="5"/>
    </row>
    <row r="56" spans="1:27" ht="63" customHeight="1" x14ac:dyDescent="0.25">
      <c r="A56" s="18" t="s">
        <v>74</v>
      </c>
      <c r="B56" s="19" t="s">
        <v>75</v>
      </c>
      <c r="C56" s="19" t="s">
        <v>47</v>
      </c>
      <c r="D56" s="19" t="s">
        <v>61</v>
      </c>
      <c r="E56" s="27" t="s">
        <v>56</v>
      </c>
      <c r="F56" s="19" t="s">
        <v>62</v>
      </c>
      <c r="G56" s="19" t="s">
        <v>49</v>
      </c>
      <c r="H56" s="19" t="s">
        <v>95</v>
      </c>
      <c r="I56" s="27" t="s">
        <v>104</v>
      </c>
      <c r="J56" s="53">
        <v>3</v>
      </c>
      <c r="K56" s="28">
        <v>50000</v>
      </c>
      <c r="L56" s="20">
        <v>0</v>
      </c>
      <c r="M56" s="20">
        <v>0</v>
      </c>
      <c r="N56" s="21">
        <f t="shared" si="7"/>
        <v>50000</v>
      </c>
      <c r="O56" s="21"/>
      <c r="P56" s="21"/>
      <c r="Q56" s="21"/>
      <c r="R56" s="21">
        <f t="shared" si="8"/>
        <v>50000</v>
      </c>
      <c r="S56" s="29">
        <v>0</v>
      </c>
      <c r="T56" s="23">
        <f t="shared" si="9"/>
        <v>0</v>
      </c>
      <c r="U56" s="40">
        <v>0</v>
      </c>
      <c r="V56" s="23">
        <f t="shared" si="10"/>
        <v>0</v>
      </c>
      <c r="W56" s="20">
        <v>0</v>
      </c>
      <c r="X56" s="23">
        <f t="shared" si="11"/>
        <v>0</v>
      </c>
      <c r="Y56" s="5"/>
      <c r="Z56" s="5"/>
      <c r="AA56" s="5"/>
    </row>
    <row r="57" spans="1:27" ht="63" customHeight="1" x14ac:dyDescent="0.25">
      <c r="A57" s="18" t="s">
        <v>74</v>
      </c>
      <c r="B57" s="19" t="s">
        <v>75</v>
      </c>
      <c r="C57" s="27" t="s">
        <v>47</v>
      </c>
      <c r="D57" s="27" t="s">
        <v>123</v>
      </c>
      <c r="E57" s="27" t="s">
        <v>56</v>
      </c>
      <c r="F57" s="19" t="s">
        <v>62</v>
      </c>
      <c r="G57" s="27" t="s">
        <v>49</v>
      </c>
      <c r="H57" s="27" t="s">
        <v>105</v>
      </c>
      <c r="I57" s="27" t="s">
        <v>104</v>
      </c>
      <c r="J57" s="53">
        <v>3</v>
      </c>
      <c r="K57" s="28">
        <v>0</v>
      </c>
      <c r="L57" s="29">
        <v>94000</v>
      </c>
      <c r="M57" s="29">
        <v>0</v>
      </c>
      <c r="N57" s="21">
        <f t="shared" si="7"/>
        <v>94000</v>
      </c>
      <c r="O57" s="30"/>
      <c r="P57" s="30"/>
      <c r="Q57" s="30"/>
      <c r="R57" s="21">
        <f t="shared" si="8"/>
        <v>94000</v>
      </c>
      <c r="S57" s="29">
        <v>48934.96</v>
      </c>
      <c r="T57" s="23">
        <f t="shared" si="9"/>
        <v>0.5205846808510638</v>
      </c>
      <c r="U57" s="40">
        <v>48934.96</v>
      </c>
      <c r="V57" s="23">
        <f t="shared" si="10"/>
        <v>0.5205846808510638</v>
      </c>
      <c r="W57" s="29">
        <v>48934.96</v>
      </c>
      <c r="X57" s="23">
        <f t="shared" si="11"/>
        <v>0.5205846808510638</v>
      </c>
      <c r="Y57" s="5"/>
      <c r="Z57" s="5"/>
      <c r="AA57" s="5"/>
    </row>
    <row r="58" spans="1:27" ht="63" customHeight="1" x14ac:dyDescent="0.25">
      <c r="A58" s="18" t="s">
        <v>74</v>
      </c>
      <c r="B58" s="27" t="s">
        <v>75</v>
      </c>
      <c r="C58" s="27" t="s">
        <v>84</v>
      </c>
      <c r="D58" s="27" t="s">
        <v>85</v>
      </c>
      <c r="E58" s="27" t="s">
        <v>76</v>
      </c>
      <c r="F58" s="27" t="s">
        <v>119</v>
      </c>
      <c r="G58" s="27" t="s">
        <v>49</v>
      </c>
      <c r="H58" s="27" t="s">
        <v>95</v>
      </c>
      <c r="I58" s="27" t="s">
        <v>104</v>
      </c>
      <c r="J58" s="53">
        <v>3</v>
      </c>
      <c r="K58" s="28">
        <f>16951090-K59</f>
        <v>15951090</v>
      </c>
      <c r="L58" s="29">
        <v>25109.99</v>
      </c>
      <c r="M58" s="29">
        <v>25109.99</v>
      </c>
      <c r="N58" s="30">
        <f t="shared" si="7"/>
        <v>15951090</v>
      </c>
      <c r="O58" s="30"/>
      <c r="P58" s="30"/>
      <c r="Q58" s="30"/>
      <c r="R58" s="30">
        <f t="shared" si="8"/>
        <v>15951090</v>
      </c>
      <c r="S58" s="29">
        <f>16595055.07-S59</f>
        <v>15807221.92</v>
      </c>
      <c r="T58" s="32">
        <f t="shared" si="9"/>
        <v>0.9909806740479804</v>
      </c>
      <c r="U58" s="40">
        <v>5596767.0899999999</v>
      </c>
      <c r="V58" s="32">
        <f t="shared" si="10"/>
        <v>0.3508705104165295</v>
      </c>
      <c r="W58" s="29">
        <v>5596767.0899999999</v>
      </c>
      <c r="X58" s="32">
        <f t="shared" si="11"/>
        <v>0.3508705104165295</v>
      </c>
      <c r="Y58" s="5"/>
      <c r="Z58" s="5"/>
      <c r="AA58" s="5"/>
    </row>
    <row r="59" spans="1:27" ht="63" customHeight="1" x14ac:dyDescent="0.25">
      <c r="A59" s="18" t="s">
        <v>74</v>
      </c>
      <c r="B59" s="19" t="s">
        <v>75</v>
      </c>
      <c r="C59" s="19" t="s">
        <v>84</v>
      </c>
      <c r="D59" s="19" t="s">
        <v>85</v>
      </c>
      <c r="E59" s="27" t="s">
        <v>76</v>
      </c>
      <c r="F59" s="27" t="s">
        <v>119</v>
      </c>
      <c r="G59" s="19" t="s">
        <v>49</v>
      </c>
      <c r="H59" s="19" t="s">
        <v>95</v>
      </c>
      <c r="I59" s="27" t="s">
        <v>104</v>
      </c>
      <c r="J59" s="38">
        <v>4</v>
      </c>
      <c r="K59" s="28">
        <v>1000000</v>
      </c>
      <c r="L59" s="20">
        <v>0</v>
      </c>
      <c r="M59" s="20">
        <v>0</v>
      </c>
      <c r="N59" s="21">
        <f t="shared" si="7"/>
        <v>1000000</v>
      </c>
      <c r="O59" s="21"/>
      <c r="P59" s="21"/>
      <c r="Q59" s="21"/>
      <c r="R59" s="21">
        <f t="shared" si="8"/>
        <v>1000000</v>
      </c>
      <c r="S59" s="29">
        <v>787833.15</v>
      </c>
      <c r="T59" s="23">
        <f t="shared" si="9"/>
        <v>0.78783314999999998</v>
      </c>
      <c r="U59" s="39">
        <v>0</v>
      </c>
      <c r="V59" s="23">
        <f t="shared" si="10"/>
        <v>0</v>
      </c>
      <c r="W59" s="20">
        <v>0</v>
      </c>
      <c r="X59" s="23">
        <f t="shared" si="11"/>
        <v>0</v>
      </c>
      <c r="Y59" s="5"/>
      <c r="Z59" s="5"/>
      <c r="AA59" s="5"/>
    </row>
    <row r="60" spans="1:27" ht="63" customHeight="1" x14ac:dyDescent="0.25">
      <c r="A60" s="18" t="s">
        <v>74</v>
      </c>
      <c r="B60" s="19" t="s">
        <v>75</v>
      </c>
      <c r="C60" s="19" t="s">
        <v>84</v>
      </c>
      <c r="D60" s="19" t="s">
        <v>85</v>
      </c>
      <c r="E60" s="27" t="s">
        <v>76</v>
      </c>
      <c r="F60" s="27" t="s">
        <v>119</v>
      </c>
      <c r="G60" s="19" t="s">
        <v>49</v>
      </c>
      <c r="H60" s="19" t="s">
        <v>105</v>
      </c>
      <c r="I60" s="27" t="s">
        <v>104</v>
      </c>
      <c r="J60" s="53">
        <v>3</v>
      </c>
      <c r="K60" s="28">
        <v>0</v>
      </c>
      <c r="L60" s="20">
        <f>2472420-L61</f>
        <v>2223000</v>
      </c>
      <c r="M60" s="20">
        <v>0</v>
      </c>
      <c r="N60" s="21">
        <f t="shared" si="7"/>
        <v>2223000</v>
      </c>
      <c r="O60" s="21"/>
      <c r="P60" s="21"/>
      <c r="Q60" s="21"/>
      <c r="R60" s="21">
        <f t="shared" si="8"/>
        <v>2223000</v>
      </c>
      <c r="S60" s="29">
        <v>96971.36</v>
      </c>
      <c r="T60" s="23">
        <f t="shared" si="9"/>
        <v>4.3621844354475935E-2</v>
      </c>
      <c r="U60" s="40">
        <v>96971.36</v>
      </c>
      <c r="V60" s="23">
        <f t="shared" si="10"/>
        <v>4.3621844354475935E-2</v>
      </c>
      <c r="W60" s="20">
        <v>96971.36</v>
      </c>
      <c r="X60" s="23">
        <f t="shared" si="11"/>
        <v>4.3621844354475935E-2</v>
      </c>
      <c r="Y60" s="5"/>
      <c r="Z60" s="5"/>
      <c r="AA60" s="5"/>
    </row>
    <row r="61" spans="1:27" ht="63" customHeight="1" x14ac:dyDescent="0.25">
      <c r="A61" s="18" t="s">
        <v>74</v>
      </c>
      <c r="B61" s="19" t="s">
        <v>75</v>
      </c>
      <c r="C61" s="19" t="s">
        <v>84</v>
      </c>
      <c r="D61" s="19" t="s">
        <v>85</v>
      </c>
      <c r="E61" s="27" t="s">
        <v>76</v>
      </c>
      <c r="F61" s="27" t="s">
        <v>119</v>
      </c>
      <c r="G61" s="19" t="s">
        <v>49</v>
      </c>
      <c r="H61" s="19" t="s">
        <v>105</v>
      </c>
      <c r="I61" s="27" t="s">
        <v>104</v>
      </c>
      <c r="J61" s="38">
        <v>4</v>
      </c>
      <c r="K61" s="28">
        <v>0</v>
      </c>
      <c r="L61" s="20">
        <v>249420</v>
      </c>
      <c r="M61" s="20">
        <v>0</v>
      </c>
      <c r="N61" s="21">
        <f t="shared" si="7"/>
        <v>249420</v>
      </c>
      <c r="O61" s="21"/>
      <c r="P61" s="21"/>
      <c r="Q61" s="21"/>
      <c r="R61" s="21">
        <f t="shared" si="8"/>
        <v>249420</v>
      </c>
      <c r="S61" s="29">
        <v>0</v>
      </c>
      <c r="T61" s="23">
        <f t="shared" si="9"/>
        <v>0</v>
      </c>
      <c r="U61" s="39">
        <v>0</v>
      </c>
      <c r="V61" s="23">
        <f t="shared" si="10"/>
        <v>0</v>
      </c>
      <c r="W61" s="20">
        <v>0</v>
      </c>
      <c r="X61" s="23">
        <f t="shared" si="11"/>
        <v>0</v>
      </c>
      <c r="Y61" s="5"/>
      <c r="Z61" s="5"/>
      <c r="AA61" s="5"/>
    </row>
    <row r="62" spans="1:27" ht="63" customHeight="1" x14ac:dyDescent="0.25">
      <c r="A62" s="18" t="s">
        <v>74</v>
      </c>
      <c r="B62" s="19" t="s">
        <v>75</v>
      </c>
      <c r="C62" s="19" t="s">
        <v>84</v>
      </c>
      <c r="D62" s="19" t="s">
        <v>86</v>
      </c>
      <c r="E62" s="27" t="s">
        <v>56</v>
      </c>
      <c r="F62" s="19" t="s">
        <v>120</v>
      </c>
      <c r="G62" s="19" t="s">
        <v>49</v>
      </c>
      <c r="H62" s="19" t="s">
        <v>95</v>
      </c>
      <c r="I62" s="27" t="s">
        <v>104</v>
      </c>
      <c r="J62" s="53">
        <v>3</v>
      </c>
      <c r="K62" s="28">
        <f>9751090-K63</f>
        <v>9651090</v>
      </c>
      <c r="L62" s="20">
        <v>0</v>
      </c>
      <c r="M62" s="20">
        <v>0</v>
      </c>
      <c r="N62" s="21">
        <f t="shared" si="7"/>
        <v>9651090</v>
      </c>
      <c r="O62" s="21"/>
      <c r="P62" s="21"/>
      <c r="Q62" s="21"/>
      <c r="R62" s="21">
        <f t="shared" si="8"/>
        <v>9651090</v>
      </c>
      <c r="S62" s="29">
        <f>9355474.22-S63</f>
        <v>9255474.2200000007</v>
      </c>
      <c r="T62" s="23">
        <f t="shared" si="9"/>
        <v>0.95900817627853441</v>
      </c>
      <c r="U62" s="40">
        <v>1897783.27</v>
      </c>
      <c r="V62" s="23">
        <f t="shared" si="10"/>
        <v>0.19663926768893461</v>
      </c>
      <c r="W62" s="20">
        <v>1897783.27</v>
      </c>
      <c r="X62" s="23">
        <f t="shared" si="11"/>
        <v>0.19663926768893461</v>
      </c>
      <c r="Y62" s="5"/>
      <c r="Z62" s="5"/>
      <c r="AA62" s="5"/>
    </row>
    <row r="63" spans="1:27" ht="63" customHeight="1" x14ac:dyDescent="0.25">
      <c r="A63" s="18" t="s">
        <v>74</v>
      </c>
      <c r="B63" s="19" t="s">
        <v>75</v>
      </c>
      <c r="C63" s="19" t="s">
        <v>84</v>
      </c>
      <c r="D63" s="19" t="s">
        <v>86</v>
      </c>
      <c r="E63" s="27" t="s">
        <v>56</v>
      </c>
      <c r="F63" s="19" t="s">
        <v>120</v>
      </c>
      <c r="G63" s="19" t="s">
        <v>49</v>
      </c>
      <c r="H63" s="19" t="s">
        <v>95</v>
      </c>
      <c r="I63" s="27" t="s">
        <v>104</v>
      </c>
      <c r="J63" s="38">
        <v>4</v>
      </c>
      <c r="K63" s="28">
        <f t="shared" ref="K63:M63" si="12">100000</f>
        <v>100000</v>
      </c>
      <c r="L63" s="20">
        <f t="shared" si="12"/>
        <v>100000</v>
      </c>
      <c r="M63" s="20">
        <f t="shared" si="12"/>
        <v>100000</v>
      </c>
      <c r="N63" s="21">
        <f t="shared" si="7"/>
        <v>100000</v>
      </c>
      <c r="O63" s="21"/>
      <c r="P63" s="21"/>
      <c r="Q63" s="21"/>
      <c r="R63" s="21">
        <f t="shared" si="8"/>
        <v>100000</v>
      </c>
      <c r="S63" s="29">
        <f>50000+50000</f>
        <v>100000</v>
      </c>
      <c r="T63" s="23">
        <f t="shared" si="9"/>
        <v>1</v>
      </c>
      <c r="U63" s="39">
        <v>0</v>
      </c>
      <c r="V63" s="23">
        <f t="shared" si="10"/>
        <v>0</v>
      </c>
      <c r="W63" s="20">
        <v>0</v>
      </c>
      <c r="X63" s="23">
        <f t="shared" si="11"/>
        <v>0</v>
      </c>
      <c r="Y63" s="5"/>
      <c r="Z63" s="5"/>
      <c r="AA63" s="5"/>
    </row>
    <row r="64" spans="1:27" ht="63" customHeight="1" x14ac:dyDescent="0.25">
      <c r="A64" s="18" t="s">
        <v>74</v>
      </c>
      <c r="B64" s="19" t="s">
        <v>75</v>
      </c>
      <c r="C64" s="19" t="s">
        <v>84</v>
      </c>
      <c r="D64" s="19" t="s">
        <v>86</v>
      </c>
      <c r="E64" s="27" t="s">
        <v>56</v>
      </c>
      <c r="F64" s="19" t="s">
        <v>120</v>
      </c>
      <c r="G64" s="19" t="s">
        <v>49</v>
      </c>
      <c r="H64" s="19" t="s">
        <v>105</v>
      </c>
      <c r="I64" s="27" t="s">
        <v>104</v>
      </c>
      <c r="J64" s="53">
        <v>3</v>
      </c>
      <c r="K64" s="28">
        <v>0</v>
      </c>
      <c r="L64" s="20">
        <v>1166291.32</v>
      </c>
      <c r="M64" s="20">
        <v>0</v>
      </c>
      <c r="N64" s="21">
        <f t="shared" si="7"/>
        <v>1166291.32</v>
      </c>
      <c r="O64" s="21"/>
      <c r="P64" s="21"/>
      <c r="Q64" s="21"/>
      <c r="R64" s="21">
        <f t="shared" si="8"/>
        <v>1166291.32</v>
      </c>
      <c r="S64" s="29">
        <v>409762.5</v>
      </c>
      <c r="T64" s="23">
        <f t="shared" si="9"/>
        <v>0.35133803448009882</v>
      </c>
      <c r="U64" s="40">
        <v>0</v>
      </c>
      <c r="V64" s="23">
        <f t="shared" si="10"/>
        <v>0</v>
      </c>
      <c r="W64" s="20">
        <v>0</v>
      </c>
      <c r="X64" s="23">
        <f t="shared" si="11"/>
        <v>0</v>
      </c>
      <c r="Y64" s="5"/>
      <c r="Z64" s="5"/>
      <c r="AA64" s="5"/>
    </row>
    <row r="65" spans="1:27" ht="63" customHeight="1" x14ac:dyDescent="0.25">
      <c r="A65" s="18" t="s">
        <v>74</v>
      </c>
      <c r="B65" s="19" t="s">
        <v>75</v>
      </c>
      <c r="C65" s="19" t="s">
        <v>64</v>
      </c>
      <c r="D65" s="19" t="s">
        <v>65</v>
      </c>
      <c r="E65" s="27" t="s">
        <v>56</v>
      </c>
      <c r="F65" s="19" t="s">
        <v>87</v>
      </c>
      <c r="G65" s="19" t="s">
        <v>49</v>
      </c>
      <c r="H65" s="19" t="s">
        <v>95</v>
      </c>
      <c r="I65" s="27" t="s">
        <v>104</v>
      </c>
      <c r="J65" s="53">
        <v>3</v>
      </c>
      <c r="K65" s="28">
        <v>1500000</v>
      </c>
      <c r="L65" s="20">
        <v>548956.36</v>
      </c>
      <c r="M65" s="20">
        <v>548956.36</v>
      </c>
      <c r="N65" s="21">
        <f t="shared" si="7"/>
        <v>1500000</v>
      </c>
      <c r="O65" s="21"/>
      <c r="P65" s="21"/>
      <c r="Q65" s="21"/>
      <c r="R65" s="21">
        <f t="shared" si="8"/>
        <v>1500000</v>
      </c>
      <c r="S65" s="29">
        <v>960963.62</v>
      </c>
      <c r="T65" s="23">
        <f t="shared" si="9"/>
        <v>0.64064241333333338</v>
      </c>
      <c r="U65" s="40">
        <v>255691.62</v>
      </c>
      <c r="V65" s="23">
        <f t="shared" si="10"/>
        <v>0.17046107999999999</v>
      </c>
      <c r="W65" s="20">
        <v>253908.3</v>
      </c>
      <c r="X65" s="23">
        <f t="shared" si="11"/>
        <v>0.16927219999999998</v>
      </c>
      <c r="Y65" s="5"/>
      <c r="Z65" s="5"/>
      <c r="AA65" s="5"/>
    </row>
    <row r="66" spans="1:27" ht="63" customHeight="1" x14ac:dyDescent="0.25">
      <c r="A66" s="18" t="s">
        <v>74</v>
      </c>
      <c r="B66" s="19" t="s">
        <v>75</v>
      </c>
      <c r="C66" s="19" t="s">
        <v>64</v>
      </c>
      <c r="D66" s="19" t="s">
        <v>65</v>
      </c>
      <c r="E66" s="27" t="s">
        <v>56</v>
      </c>
      <c r="F66" s="19" t="s">
        <v>87</v>
      </c>
      <c r="G66" s="19" t="s">
        <v>49</v>
      </c>
      <c r="H66" s="19" t="s">
        <v>105</v>
      </c>
      <c r="I66" s="27" t="s">
        <v>104</v>
      </c>
      <c r="J66" s="53">
        <v>3</v>
      </c>
      <c r="K66" s="28">
        <v>0</v>
      </c>
      <c r="L66" s="20">
        <v>509200.25</v>
      </c>
      <c r="M66" s="20">
        <v>0</v>
      </c>
      <c r="N66" s="21">
        <f t="shared" si="7"/>
        <v>509200.25</v>
      </c>
      <c r="O66" s="21"/>
      <c r="P66" s="21"/>
      <c r="Q66" s="21"/>
      <c r="R66" s="21">
        <f t="shared" si="8"/>
        <v>509200.25</v>
      </c>
      <c r="S66" s="29">
        <v>309200.25</v>
      </c>
      <c r="T66" s="23">
        <f t="shared" si="9"/>
        <v>0.6072272156190025</v>
      </c>
      <c r="U66" s="40">
        <v>0</v>
      </c>
      <c r="V66" s="23">
        <f t="shared" si="10"/>
        <v>0</v>
      </c>
      <c r="W66" s="20">
        <v>0</v>
      </c>
      <c r="X66" s="23">
        <f t="shared" si="11"/>
        <v>0</v>
      </c>
      <c r="Y66" s="5"/>
      <c r="Z66" s="5"/>
      <c r="AA66" s="5"/>
    </row>
    <row r="67" spans="1:27" ht="63" customHeight="1" x14ac:dyDescent="0.25">
      <c r="A67" s="18" t="s">
        <v>74</v>
      </c>
      <c r="B67" s="19" t="s">
        <v>75</v>
      </c>
      <c r="C67" s="19" t="s">
        <v>64</v>
      </c>
      <c r="D67" s="19" t="s">
        <v>54</v>
      </c>
      <c r="E67" s="27" t="s">
        <v>56</v>
      </c>
      <c r="F67" s="19" t="s">
        <v>110</v>
      </c>
      <c r="G67" s="19" t="s">
        <v>49</v>
      </c>
      <c r="H67" s="19" t="s">
        <v>95</v>
      </c>
      <c r="I67" s="27" t="s">
        <v>104</v>
      </c>
      <c r="J67" s="53">
        <v>3</v>
      </c>
      <c r="K67" s="28">
        <v>205640</v>
      </c>
      <c r="L67" s="20">
        <v>0</v>
      </c>
      <c r="M67" s="20">
        <v>0</v>
      </c>
      <c r="N67" s="21">
        <f t="shared" si="7"/>
        <v>205640</v>
      </c>
      <c r="O67" s="21"/>
      <c r="P67" s="21"/>
      <c r="Q67" s="21"/>
      <c r="R67" s="21">
        <f t="shared" si="8"/>
        <v>205640</v>
      </c>
      <c r="S67" s="29">
        <v>0</v>
      </c>
      <c r="T67" s="23">
        <f t="shared" si="9"/>
        <v>0</v>
      </c>
      <c r="U67" s="40">
        <v>0</v>
      </c>
      <c r="V67" s="23">
        <f t="shared" si="10"/>
        <v>0</v>
      </c>
      <c r="W67" s="20">
        <v>0</v>
      </c>
      <c r="X67" s="23">
        <f t="shared" si="11"/>
        <v>0</v>
      </c>
      <c r="Y67" s="5"/>
      <c r="Z67" s="5"/>
      <c r="AA67" s="5"/>
    </row>
    <row r="68" spans="1:27" ht="63" customHeight="1" x14ac:dyDescent="0.25">
      <c r="A68" s="18" t="s">
        <v>74</v>
      </c>
      <c r="B68" s="19" t="s">
        <v>75</v>
      </c>
      <c r="C68" s="19" t="s">
        <v>64</v>
      </c>
      <c r="D68" s="19" t="s">
        <v>54</v>
      </c>
      <c r="E68" s="27" t="s">
        <v>56</v>
      </c>
      <c r="F68" s="19" t="s">
        <v>110</v>
      </c>
      <c r="G68" s="19" t="s">
        <v>49</v>
      </c>
      <c r="H68" s="19" t="s">
        <v>95</v>
      </c>
      <c r="I68" s="27" t="s">
        <v>104</v>
      </c>
      <c r="J68" s="38">
        <v>4</v>
      </c>
      <c r="K68" s="28">
        <v>240000</v>
      </c>
      <c r="L68" s="20">
        <v>0</v>
      </c>
      <c r="M68" s="20">
        <v>0</v>
      </c>
      <c r="N68" s="21">
        <f t="shared" si="7"/>
        <v>240000</v>
      </c>
      <c r="O68" s="21"/>
      <c r="P68" s="21"/>
      <c r="Q68" s="21"/>
      <c r="R68" s="21">
        <f t="shared" si="8"/>
        <v>240000</v>
      </c>
      <c r="S68" s="29">
        <v>0</v>
      </c>
      <c r="T68" s="23">
        <f t="shared" si="9"/>
        <v>0</v>
      </c>
      <c r="U68" s="39">
        <v>0</v>
      </c>
      <c r="V68" s="23">
        <f t="shared" si="10"/>
        <v>0</v>
      </c>
      <c r="W68" s="20">
        <v>0</v>
      </c>
      <c r="X68" s="23">
        <f t="shared" si="11"/>
        <v>0</v>
      </c>
      <c r="Y68" s="5"/>
      <c r="Z68" s="5"/>
      <c r="AA68" s="5"/>
    </row>
    <row r="69" spans="1:27" ht="63" customHeight="1" x14ac:dyDescent="0.25">
      <c r="A69" s="18" t="s">
        <v>74</v>
      </c>
      <c r="B69" s="19" t="s">
        <v>75</v>
      </c>
      <c r="C69" s="19" t="s">
        <v>64</v>
      </c>
      <c r="D69" s="19" t="s">
        <v>121</v>
      </c>
      <c r="E69" s="27" t="s">
        <v>56</v>
      </c>
      <c r="F69" s="19" t="s">
        <v>110</v>
      </c>
      <c r="G69" s="19" t="s">
        <v>49</v>
      </c>
      <c r="H69" s="19" t="s">
        <v>97</v>
      </c>
      <c r="I69" s="19" t="s">
        <v>106</v>
      </c>
      <c r="J69" s="56">
        <v>3</v>
      </c>
      <c r="K69" s="28">
        <v>1200000</v>
      </c>
      <c r="L69" s="20">
        <v>4750</v>
      </c>
      <c r="M69" s="20">
        <v>4750</v>
      </c>
      <c r="N69" s="21">
        <f t="shared" si="7"/>
        <v>1200000</v>
      </c>
      <c r="O69" s="21"/>
      <c r="P69" s="21"/>
      <c r="Q69" s="21"/>
      <c r="R69" s="21">
        <f t="shared" si="8"/>
        <v>1200000</v>
      </c>
      <c r="S69" s="29">
        <v>584364.43999999994</v>
      </c>
      <c r="T69" s="23">
        <f t="shared" si="9"/>
        <v>0.4869703666666666</v>
      </c>
      <c r="U69" s="55">
        <v>112089.5</v>
      </c>
      <c r="V69" s="23">
        <f t="shared" si="10"/>
        <v>9.340791666666666E-2</v>
      </c>
      <c r="W69" s="20">
        <v>110040.64</v>
      </c>
      <c r="X69" s="23">
        <f t="shared" si="11"/>
        <v>9.1700533333333334E-2</v>
      </c>
      <c r="Y69" s="5"/>
      <c r="Z69" s="5"/>
      <c r="AA69" s="5"/>
    </row>
    <row r="70" spans="1:27" ht="15.75" customHeight="1" x14ac:dyDescent="0.25">
      <c r="A70" s="67" t="s">
        <v>88</v>
      </c>
      <c r="B70" s="66"/>
      <c r="C70" s="66"/>
      <c r="D70" s="66"/>
      <c r="E70" s="66"/>
      <c r="F70" s="66"/>
      <c r="G70" s="66"/>
      <c r="H70" s="66"/>
      <c r="I70" s="66"/>
      <c r="J70" s="61"/>
      <c r="K70" s="33">
        <f t="shared" ref="K70:S70" si="13">SUM(K31:K69)</f>
        <v>190820000</v>
      </c>
      <c r="L70" s="33">
        <f t="shared" si="13"/>
        <v>102381393.55</v>
      </c>
      <c r="M70" s="33">
        <f t="shared" si="13"/>
        <v>64469196.679999992</v>
      </c>
      <c r="N70" s="33">
        <f t="shared" si="13"/>
        <v>228732196.86999997</v>
      </c>
      <c r="O70" s="33">
        <f t="shared" si="13"/>
        <v>0</v>
      </c>
      <c r="P70" s="33">
        <f t="shared" si="13"/>
        <v>0</v>
      </c>
      <c r="Q70" s="33">
        <f t="shared" si="13"/>
        <v>0</v>
      </c>
      <c r="R70" s="33">
        <f t="shared" si="13"/>
        <v>228732196.86999997</v>
      </c>
      <c r="S70" s="33">
        <f t="shared" si="13"/>
        <v>184158867.53000003</v>
      </c>
      <c r="T70" s="34">
        <f t="shared" si="9"/>
        <v>0.80512874903512943</v>
      </c>
      <c r="U70" s="33">
        <f>SUM(U31:U69)</f>
        <v>64906383.379999995</v>
      </c>
      <c r="V70" s="34">
        <f t="shared" si="10"/>
        <v>0.28376583737745309</v>
      </c>
      <c r="W70" s="33">
        <f>SUM(W31:W69)</f>
        <v>64593789.169999994</v>
      </c>
      <c r="X70" s="34">
        <f t="shared" si="11"/>
        <v>0.28239919894929305</v>
      </c>
      <c r="Y70" s="5"/>
      <c r="Z70" s="5"/>
      <c r="AA70" s="5"/>
    </row>
    <row r="71" spans="1:27" ht="15.75" customHeight="1" x14ac:dyDescent="0.25">
      <c r="A71" s="68" t="s">
        <v>89</v>
      </c>
      <c r="B71" s="66"/>
      <c r="C71" s="66"/>
      <c r="D71" s="66"/>
      <c r="E71" s="66"/>
      <c r="F71" s="66"/>
      <c r="G71" s="66"/>
      <c r="H71" s="66"/>
      <c r="I71" s="66"/>
      <c r="J71" s="61"/>
      <c r="K71" s="41">
        <f t="shared" ref="K71:S71" si="14">SUM(K28+K70)</f>
        <v>1214989000</v>
      </c>
      <c r="L71" s="41">
        <f t="shared" si="14"/>
        <v>140456263.56999999</v>
      </c>
      <c r="M71" s="41">
        <f t="shared" si="14"/>
        <v>102344066.69999999</v>
      </c>
      <c r="N71" s="41">
        <f t="shared" si="14"/>
        <v>1253101196.8699999</v>
      </c>
      <c r="O71" s="41">
        <f t="shared" si="14"/>
        <v>0</v>
      </c>
      <c r="P71" s="41">
        <f t="shared" si="14"/>
        <v>0</v>
      </c>
      <c r="Q71" s="41">
        <f t="shared" si="14"/>
        <v>-30992327.970000003</v>
      </c>
      <c r="R71" s="41">
        <f t="shared" si="14"/>
        <v>1222108868.8999999</v>
      </c>
      <c r="S71" s="41">
        <f t="shared" si="14"/>
        <v>685282026.01999998</v>
      </c>
      <c r="T71" s="42">
        <f t="shared" si="9"/>
        <v>0.56073729882740408</v>
      </c>
      <c r="U71" s="41">
        <f>SUM(U28+U70)</f>
        <v>566029541.87</v>
      </c>
      <c r="V71" s="42">
        <f t="shared" si="10"/>
        <v>0.46315803466795386</v>
      </c>
      <c r="W71" s="41">
        <f>SUM(W28+W70)</f>
        <v>563286044.44000006</v>
      </c>
      <c r="X71" s="42">
        <f t="shared" si="11"/>
        <v>0.46091314675345135</v>
      </c>
      <c r="Y71" s="24"/>
      <c r="Z71" s="5"/>
      <c r="AA71" s="5"/>
    </row>
    <row r="72" spans="1:27" ht="14.25" customHeight="1" x14ac:dyDescent="0.25">
      <c r="A72" s="43" t="s">
        <v>90</v>
      </c>
      <c r="B72" s="44"/>
      <c r="C72" s="44"/>
      <c r="D72" s="44"/>
      <c r="E72" s="44"/>
      <c r="F72" s="44"/>
      <c r="G72" s="44"/>
      <c r="H72" s="45"/>
      <c r="I72" s="45"/>
      <c r="J72" s="45"/>
      <c r="K72" s="44"/>
      <c r="L72" s="44"/>
      <c r="M72" s="46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5"/>
      <c r="Z72" s="5"/>
      <c r="AA72" s="5"/>
    </row>
    <row r="73" spans="1:27" ht="14.25" customHeight="1" x14ac:dyDescent="0.25">
      <c r="A73" s="43" t="s">
        <v>91</v>
      </c>
      <c r="B73" s="48"/>
      <c r="C73" s="44"/>
      <c r="D73" s="44"/>
      <c r="E73" s="44"/>
      <c r="F73" s="44"/>
      <c r="G73" s="44"/>
      <c r="H73" s="45"/>
      <c r="I73" s="45"/>
      <c r="J73" s="45"/>
      <c r="K73" s="44"/>
      <c r="L73" s="44"/>
      <c r="M73" s="46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5"/>
      <c r="Z73" s="5"/>
      <c r="AA73" s="5"/>
    </row>
    <row r="74" spans="1:27" ht="14.25" customHeight="1" x14ac:dyDescent="0.25">
      <c r="A74" s="69" t="s">
        <v>92</v>
      </c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1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5"/>
      <c r="Z74" s="5"/>
      <c r="AA74" s="5"/>
    </row>
    <row r="75" spans="1:27" ht="14.2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4.2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4.2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4.2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4.2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4.2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4.2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4.2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4.2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4.2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4.2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4.2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4.2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4.2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4.2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4.2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4.2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4.2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4.2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4.2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4.2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4.2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4.2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2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2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2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2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</sheetData>
  <mergeCells count="27">
    <mergeCell ref="R11:R12"/>
    <mergeCell ref="A1:F1"/>
    <mergeCell ref="A2:F2"/>
    <mergeCell ref="A3:F3"/>
    <mergeCell ref="A4:F4"/>
    <mergeCell ref="A6:F6"/>
    <mergeCell ref="A28:J28"/>
    <mergeCell ref="A70:J70"/>
    <mergeCell ref="A71:J71"/>
    <mergeCell ref="A74:M74"/>
    <mergeCell ref="A7:F7"/>
    <mergeCell ref="A9:X9"/>
    <mergeCell ref="P11:Q11"/>
    <mergeCell ref="S11:X11"/>
    <mergeCell ref="E12:F12"/>
    <mergeCell ref="H12:I12"/>
    <mergeCell ref="A8:F8"/>
    <mergeCell ref="A11:J11"/>
    <mergeCell ref="K11:K12"/>
    <mergeCell ref="L11:M11"/>
    <mergeCell ref="N11:N12"/>
    <mergeCell ref="O11:O12"/>
    <mergeCell ref="A12:B12"/>
    <mergeCell ref="C12:C13"/>
    <mergeCell ref="D12:D13"/>
    <mergeCell ref="G12:G13"/>
    <mergeCell ref="J12:J13"/>
  </mergeCells>
  <pageMargins left="0.511811024" right="0.511811024" top="0.78740157499999996" bottom="0.78740157499999996" header="0.31496062000000002" footer="0.31496062000000002"/>
  <pageSetup paperSize="9" scale="3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JUNHO 2024</vt:lpstr>
      <vt:lpstr>'JUNHO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Rogeria Azevedo</cp:lastModifiedBy>
  <cp:lastPrinted>2024-07-20T23:52:58Z</cp:lastPrinted>
  <dcterms:modified xsi:type="dcterms:W3CDTF">2024-07-20T23:53:01Z</dcterms:modified>
</cp:coreProperties>
</file>