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O" sheetId="1" r:id="rId4"/>
  </sheets>
  <definedNames/>
  <calcPr/>
  <extLst>
    <ext uri="GoogleSheetsCustomDataVersion2">
      <go:sheetsCustomData xmlns:go="http://customooxmlschemas.google.com/" r:id="rId5" roundtripDataChecksum="xjMRXIMSdu6xZpLBlTOVgpUEydYf/mXZ5OS+tEOSq50="/>
    </ext>
  </extLst>
</workbook>
</file>

<file path=xl/sharedStrings.xml><?xml version="1.0" encoding="utf-8"?>
<sst xmlns="http://schemas.openxmlformats.org/spreadsheetml/2006/main" count="509" uniqueCount="128">
  <si>
    <t>ANEXO II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</si>
  <si>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</si>
  <si>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</si>
  <si>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</si>
  <si>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</si>
  <si>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05/2026</t>
  </si>
  <si>
    <t>Data da Publicação: 10/06/2026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</si>
  <si>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</si>
  <si>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</si>
  <si>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</si>
  <si>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</si>
  <si>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</si>
  <si>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</si>
  <si>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</si>
  <si>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</si>
  <si>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</si>
  <si>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</si>
  <si>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</si>
  <si>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</si>
  <si>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</si>
  <si>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</si>
  <si>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</si>
  <si>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</si>
  <si>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</si>
  <si>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</si>
  <si>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</si>
  <si>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</si>
  <si>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</si>
  <si>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</si>
  <si>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</si>
  <si>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</si>
  <si>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</si>
  <si>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</si>
  <si>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</si>
  <si>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</si>
  <si>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</si>
  <si>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</si>
  <si>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</si>
  <si>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</si>
  <si>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</si>
  <si>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</si>
  <si>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</si>
  <si>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</si>
  <si>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</si>
  <si>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</si>
  <si>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</si>
  <si>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</si>
  <si>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</si>
  <si>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</si>
  <si>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</si>
  <si>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</si>
  <si>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</si>
  <si>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</si>
  <si>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</si>
  <si>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</si>
  <si>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</si>
  <si>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</si>
  <si>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</si>
  <si>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</si>
  <si>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1.501.100.0.0000.0000</t>
  </si>
  <si>
    <t>3290/2563.0001</t>
  </si>
  <si>
    <t>Remuneração de Pessoal Ativo e Encargos Sociais do 1° Grau</t>
  </si>
  <si>
    <t>3290/2744.0001</t>
  </si>
  <si>
    <t>Remuneração de Pessoal Ativo e Encargos Sociais do Apoio Administrativo</t>
  </si>
  <si>
    <t>3290/2745.0001</t>
  </si>
  <si>
    <t>Benefícios aos Servidores do Apoio Administrativo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</si>
  <si>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</si>
  <si>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</si>
  <si>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</si>
  <si>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</si>
  <si>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</si>
  <si>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</si>
  <si>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</si>
  <si>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02.128</t>
  </si>
  <si>
    <t>3290/2218.0001</t>
  </si>
  <si>
    <t>Formação e aperfeiçoamento dos Servidores</t>
  </si>
  <si>
    <t>3290/2347.0001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</si>
  <si>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</si>
  <si>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</si>
  <si>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</si>
  <si>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</si>
  <si>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</si>
  <si>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</si>
  <si>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</si>
  <si>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</si>
  <si>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</si>
  <si>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</si>
  <si>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</si>
  <si>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</si>
  <si>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</si>
  <si>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3290/1476.0002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</si>
  <si>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</si>
  <si>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</si>
  <si>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</si>
  <si>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</si>
  <si>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2.759.201.0.0000.0000</t>
  </si>
  <si>
    <t>3290/1476.0004</t>
  </si>
  <si>
    <t>3290/1476.0005</t>
  </si>
  <si>
    <t>3290.1476.0006</t>
  </si>
  <si>
    <t>3290.1476.0007</t>
  </si>
  <si>
    <t>3290.1476.0009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</si>
  <si>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</si>
  <si>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</si>
  <si>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</si>
  <si>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</si>
  <si>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</si>
  <si>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3290/2581.0001</t>
  </si>
  <si>
    <t>Operacionalização da Corregedoria Geral de Justiça - CGJ/AM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</si>
  <si>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</si>
  <si>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</si>
  <si>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</si>
  <si>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</si>
  <si>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2. Grau</t>
  </si>
  <si>
    <t>Benefícios aos Servidores do 2.° Grau</t>
  </si>
  <si>
    <t xml:space="preserve">1 </t>
  </si>
  <si>
    <t>02.126</t>
  </si>
  <si>
    <t>3290/2627.0001</t>
  </si>
  <si>
    <t>Manutenção, Ampliação e Aperfeiçoamento da Infraestrutura de TIC no 1° Grau do Poder Judiciário</t>
  </si>
  <si>
    <t>Manutenção, Ampliação e Aperfeiçoamento da Infraestrutura de TIC do Poder Judiciário</t>
  </si>
  <si>
    <t>Formação e Aperfeiçoamento dos servidores</t>
  </si>
  <si>
    <t>1.759.285.0.0000.0000</t>
  </si>
  <si>
    <t>Recursos Vinculados a Fundos - Outras Fontes</t>
  </si>
  <si>
    <t>2.759.285.0.0000.0000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</si>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</sst>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8">
    <font>
      <sz val="10.0"/>
      <color rgb="FF000000"/>
      <name val="Arial"/>
      <scheme val="minor"/>
    </font>
    <font>
      <sz val="9.0"/>
      <color theme="1"/>
      <name val="Arial"/>
    </font>
    <font/>
    <font>
      <sz val="11.0"/>
      <color theme="1"/>
      <name val="Arial"/>
    </font>
    <font>
      <b/>
      <sz val="7.0"/>
      <color theme="1"/>
      <name val="Arial"/>
    </font>
    <font>
      <sz val="7.0"/>
      <color theme="1"/>
      <name val="Arial"/>
    </font>
    <font>
      <sz val="12.0"/>
      <color theme="1"/>
      <name val="Arial"/>
    </font>
    <font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DCFF"/>
        <bgColor rgb="FF00DCFF"/>
      </patternFill>
    </fill>
  </fills>
  <borders count="20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</border>
    <border>
      <right style="hair">
        <color rgb="FF000000"/>
      </right>
    </border>
    <border>
      <left/>
      <right/>
      <top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3" numFmtId="0" xfId="0" applyBorder="1" applyFill="1" applyFont="1"/>
    <xf borderId="4" fillId="2" fontId="3" numFmtId="164" xfId="0" applyBorder="1" applyFont="1" applyNumberFormat="1"/>
    <xf borderId="5" fillId="0" fontId="1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1" numFmtId="0" xfId="0" applyBorder="1" applyFont="1"/>
    <xf borderId="9" fillId="0" fontId="2" numFmtId="0" xfId="0" applyBorder="1" applyFont="1"/>
    <xf borderId="1" fillId="0" fontId="1" numFmtId="0" xfId="0" applyAlignment="1" applyBorder="1" applyFont="1">
      <alignment readingOrder="0"/>
    </xf>
    <xf borderId="1" fillId="0" fontId="1" numFmtId="49" xfId="0" applyAlignment="1" applyBorder="1" applyFont="1" applyNumberFormat="1">
      <alignment readingOrder="0"/>
    </xf>
    <xf borderId="0" fillId="0" fontId="4" numFmtId="0" xfId="0" applyAlignment="1" applyFont="1">
      <alignment horizontal="center"/>
    </xf>
    <xf borderId="10" fillId="2" fontId="3" numFmtId="0" xfId="0" applyBorder="1" applyFont="1"/>
    <xf borderId="0" fillId="0" fontId="3" numFmtId="164" xfId="0" applyFont="1" applyNumberFormat="1"/>
    <xf borderId="1" fillId="0" fontId="4" numFmtId="0" xfId="0" applyAlignment="1" applyBorder="1" applyFont="1">
      <alignment horizontal="center" shrinkToFit="0" wrapText="1"/>
    </xf>
    <xf borderId="7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wrapText="1"/>
    </xf>
    <xf borderId="16" fillId="0" fontId="2" numFmtId="0" xfId="0" applyBorder="1" applyFont="1"/>
    <xf borderId="15" fillId="0" fontId="4" numFmtId="164" xfId="0" applyAlignment="1" applyBorder="1" applyFont="1" applyNumberFormat="1">
      <alignment horizontal="center" shrinkToFit="0" wrapText="1"/>
    </xf>
    <xf borderId="15" fillId="0" fontId="4" numFmtId="165" xfId="0" applyAlignment="1" applyBorder="1" applyFont="1" applyNumberFormat="1">
      <alignment horizontal="center" shrinkToFit="0" wrapText="1"/>
    </xf>
    <xf borderId="15" fillId="0" fontId="4" numFmtId="0" xfId="0" applyAlignment="1" applyBorder="1" applyFont="1">
      <alignment horizontal="center" shrinkToFit="0" vertical="center" wrapText="1"/>
    </xf>
    <xf borderId="15" fillId="0" fontId="4" numFmtId="164" xfId="0" applyAlignment="1" applyBorder="1" applyFont="1" applyNumberFormat="1">
      <alignment horizontal="center" shrinkToFit="0" vertical="center" wrapText="1"/>
    </xf>
    <xf borderId="15" fillId="0" fontId="4" numFmtId="165" xfId="0" applyAlignment="1" applyBorder="1" applyFont="1" applyNumberFormat="1">
      <alignment horizontal="center" shrinkToFit="0" vertical="center" wrapText="1"/>
    </xf>
    <xf borderId="15" fillId="3" fontId="5" numFmtId="49" xfId="0" applyAlignment="1" applyBorder="1" applyFill="1" applyFont="1" applyNumberFormat="1">
      <alignment horizontal="center" shrinkToFit="0" vertical="center" wrapText="1"/>
    </xf>
    <xf borderId="15" fillId="0" fontId="5" numFmtId="49" xfId="0" applyAlignment="1" applyBorder="1" applyFont="1" applyNumberFormat="1">
      <alignment horizontal="center" shrinkToFit="0" vertical="center" wrapText="1"/>
    </xf>
    <xf borderId="15" fillId="4" fontId="5" numFmtId="0" xfId="0" applyAlignment="1" applyBorder="1" applyFill="1" applyFont="1">
      <alignment horizontal="center" shrinkToFit="0" vertical="center" wrapText="1"/>
    </xf>
    <xf borderId="15" fillId="0" fontId="5" numFmtId="166" xfId="0" applyAlignment="1" applyBorder="1" applyFont="1" applyNumberFormat="1">
      <alignment horizontal="center" readingOrder="0" vertical="center"/>
    </xf>
    <xf borderId="15" fillId="2" fontId="5" numFmtId="166" xfId="0" applyAlignment="1" applyBorder="1" applyFont="1" applyNumberFormat="1">
      <alignment horizontal="center" readingOrder="0" vertical="center"/>
    </xf>
    <xf borderId="15" fillId="2" fontId="4" numFmtId="4" xfId="0" applyAlignment="1" applyBorder="1" applyFont="1" applyNumberFormat="1">
      <alignment horizontal="center" vertical="center"/>
    </xf>
    <xf borderId="15" fillId="2" fontId="3" numFmtId="4" xfId="0" applyAlignment="1" applyBorder="1" applyFont="1" applyNumberFormat="1">
      <alignment horizontal="center" vertical="center"/>
    </xf>
    <xf borderId="15" fillId="2" fontId="4" numFmtId="164" xfId="0" applyAlignment="1" applyBorder="1" applyFont="1" applyNumberFormat="1">
      <alignment horizontal="center" vertical="center"/>
    </xf>
    <xf borderId="15" fillId="4" fontId="5" numFmtId="166" xfId="0" applyAlignment="1" applyBorder="1" applyFont="1" applyNumberFormat="1">
      <alignment horizontal="center" readingOrder="0" vertical="center"/>
    </xf>
    <xf borderId="15" fillId="2" fontId="3" numFmtId="0" xfId="0" applyAlignment="1" applyBorder="1" applyFont="1">
      <alignment horizontal="center" vertical="center"/>
    </xf>
    <xf borderId="0" fillId="0" fontId="3" numFmtId="166" xfId="0" applyFont="1" applyNumberFormat="1"/>
    <xf borderId="15" fillId="5" fontId="5" numFmtId="0" xfId="0" applyAlignment="1" applyBorder="1" applyFill="1" applyFont="1">
      <alignment horizontal="center" shrinkToFit="0" vertical="center" wrapText="1"/>
    </xf>
    <xf borderId="15" fillId="5" fontId="5" numFmtId="166" xfId="0" applyAlignment="1" applyBorder="1" applyFont="1" applyNumberFormat="1">
      <alignment horizontal="center" readingOrder="0" vertical="center"/>
    </xf>
    <xf borderId="15" fillId="0" fontId="5" numFmtId="167" xfId="0" applyAlignment="1" applyBorder="1" applyFont="1" applyNumberFormat="1">
      <alignment horizontal="center" readingOrder="0" vertical="center"/>
    </xf>
    <xf borderId="15" fillId="0" fontId="4" numFmtId="4" xfId="0" applyAlignment="1" applyBorder="1" applyFont="1" applyNumberFormat="1">
      <alignment horizontal="center" vertical="center"/>
    </xf>
    <xf borderId="15" fillId="0" fontId="4" numFmtId="164" xfId="0" applyAlignment="1" applyBorder="1" applyFont="1" applyNumberFormat="1">
      <alignment horizontal="center" vertical="center"/>
    </xf>
    <xf borderId="15" fillId="0" fontId="5" numFmtId="166" xfId="0" applyAlignment="1" applyBorder="1" applyFont="1" applyNumberFormat="1">
      <alignment horizontal="center" vertical="center"/>
    </xf>
    <xf borderId="15" fillId="2" fontId="5" numFmtId="166" xfId="0" applyAlignment="1" applyBorder="1" applyFont="1" applyNumberFormat="1">
      <alignment horizontal="center" vertical="center"/>
    </xf>
    <xf borderId="15" fillId="5" fontId="5" numFmtId="166" xfId="0" applyAlignment="1" applyBorder="1" applyFont="1" applyNumberFormat="1">
      <alignment horizontal="center" vertical="center"/>
    </xf>
    <xf borderId="15" fillId="4" fontId="5" numFmtId="166" xfId="0" applyAlignment="1" applyBorder="1" applyFont="1" applyNumberFormat="1">
      <alignment horizontal="center" vertical="center"/>
    </xf>
    <xf borderId="15" fillId="2" fontId="5" numFmtId="49" xfId="0" applyAlignment="1" applyBorder="1" applyFont="1" applyNumberFormat="1">
      <alignment horizontal="center" shrinkToFit="0" vertical="center" wrapText="1"/>
    </xf>
    <xf borderId="1" fillId="6" fontId="6" numFmtId="49" xfId="0" applyAlignment="1" applyBorder="1" applyFill="1" applyFont="1" applyNumberFormat="1">
      <alignment horizontal="center" shrinkToFit="0" vertical="center" wrapText="1"/>
    </xf>
    <xf borderId="15" fillId="6" fontId="4" numFmtId="4" xfId="0" applyAlignment="1" applyBorder="1" applyFont="1" applyNumberFormat="1">
      <alignment horizontal="center" shrinkToFit="0" vertical="center" wrapText="1"/>
    </xf>
    <xf borderId="15" fillId="6" fontId="4" numFmtId="164" xfId="0" applyAlignment="1" applyBorder="1" applyFont="1" applyNumberFormat="1">
      <alignment horizontal="center" vertical="center"/>
    </xf>
    <xf borderId="15" fillId="6" fontId="3" numFmtId="49" xfId="0" applyBorder="1" applyFont="1" applyNumberFormat="1"/>
    <xf borderId="15" fillId="6" fontId="3" numFmtId="4" xfId="0" applyBorder="1" applyFont="1" applyNumberFormat="1"/>
    <xf borderId="15" fillId="6" fontId="3" numFmtId="164" xfId="0" applyBorder="1" applyFont="1" applyNumberFormat="1"/>
    <xf borderId="15" fillId="0" fontId="3" numFmtId="49" xfId="0" applyBorder="1" applyFont="1" applyNumberFormat="1"/>
    <xf borderId="15" fillId="0" fontId="3" numFmtId="4" xfId="0" applyBorder="1" applyFont="1" applyNumberFormat="1"/>
    <xf borderId="15" fillId="0" fontId="3" numFmtId="164" xfId="0" applyBorder="1" applyFont="1" applyNumberFormat="1"/>
    <xf borderId="15" fillId="7" fontId="5" numFmtId="0" xfId="0" applyAlignment="1" applyBorder="1" applyFill="1" applyFont="1">
      <alignment horizontal="center" shrinkToFit="0" vertical="center" wrapText="1"/>
    </xf>
    <xf borderId="15" fillId="7" fontId="5" numFmtId="166" xfId="0" applyAlignment="1" applyBorder="1" applyFont="1" applyNumberFormat="1">
      <alignment horizontal="center" readingOrder="0" vertical="center"/>
    </xf>
    <xf borderId="15" fillId="0" fontId="5" numFmtId="167" xfId="0" applyAlignment="1" applyBorder="1" applyFont="1" applyNumberFormat="1">
      <alignment horizontal="center" vertical="center"/>
    </xf>
    <xf borderId="15" fillId="7" fontId="5" numFmtId="166" xfId="0" applyAlignment="1" applyBorder="1" applyFont="1" applyNumberFormat="1">
      <alignment horizontal="center" vertical="center"/>
    </xf>
    <xf borderId="15" fillId="0" fontId="3" numFmtId="4" xfId="0" applyAlignment="1" applyBorder="1" applyFont="1" applyNumberFormat="1">
      <alignment horizontal="center" vertical="center"/>
    </xf>
    <xf borderId="15" fillId="0" fontId="5" numFmtId="49" xfId="0" applyAlignment="1" applyBorder="1" applyFont="1" applyNumberFormat="1">
      <alignment horizontal="center" readingOrder="0" shrinkToFit="0" vertical="center" wrapText="1"/>
    </xf>
    <xf borderId="15" fillId="2" fontId="5" numFmtId="49" xfId="0" applyAlignment="1" applyBorder="1" applyFont="1" applyNumberFormat="1">
      <alignment horizontal="center" readingOrder="0" shrinkToFit="0" vertical="center" wrapText="1"/>
    </xf>
    <xf borderId="15" fillId="4" fontId="5" numFmtId="0" xfId="0" applyAlignment="1" applyBorder="1" applyFont="1">
      <alignment horizontal="center" readingOrder="0" shrinkToFit="0" vertical="center" wrapText="1"/>
    </xf>
    <xf borderId="1" fillId="6" fontId="3" numFmtId="49" xfId="0" applyAlignment="1" applyBorder="1" applyFont="1" applyNumberFormat="1">
      <alignment horizontal="center" shrinkToFit="0" wrapText="1"/>
    </xf>
    <xf borderId="1" fillId="8" fontId="3" numFmtId="49" xfId="0" applyAlignment="1" applyBorder="1" applyFill="1" applyFont="1" applyNumberFormat="1">
      <alignment horizontal="center" shrinkToFit="0" wrapText="1"/>
    </xf>
    <xf borderId="15" fillId="8" fontId="4" numFmtId="4" xfId="0" applyAlignment="1" applyBorder="1" applyFont="1" applyNumberFormat="1">
      <alignment horizontal="center" shrinkToFit="0" vertical="center" wrapText="1"/>
    </xf>
    <xf borderId="17" fillId="8" fontId="4" numFmtId="4" xfId="0" applyAlignment="1" applyBorder="1" applyFont="1" applyNumberFormat="1">
      <alignment horizontal="center" shrinkToFit="0" vertical="center" wrapText="1"/>
    </xf>
    <xf borderId="17" fillId="8" fontId="4" numFmtId="164" xfId="0" applyAlignment="1" applyBorder="1" applyFont="1" applyNumberFormat="1">
      <alignment horizontal="center" vertical="center"/>
    </xf>
    <xf borderId="18" fillId="2" fontId="7" numFmtId="0" xfId="0" applyBorder="1" applyFont="1"/>
    <xf borderId="19" fillId="2" fontId="3" numFmtId="0" xfId="0" applyBorder="1" applyFont="1"/>
    <xf borderId="0" fillId="0" fontId="3" numFmtId="4" xfId="0" applyAlignment="1" applyFont="1" applyNumberFormat="1">
      <alignment horizontal="right"/>
    </xf>
    <xf borderId="1" fillId="2" fontId="7" numFmtId="0" xfId="0" applyBorder="1" applyFont="1"/>
    <xf borderId="0" fillId="0" fontId="3" numFmtId="0" xfId="0" applyAlignment="1" applyFont="1">
      <alignment horizontal="right"/>
    </xf>
    <xf borderId="0" fillId="0" fontId="3" numFmtId="167" xfId="0" applyAlignment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0" fillId="0" fontId="3" numFmtId="4" xfId="0" applyFont="1" applyNumberFormat="1"/>
    <xf borderId="0" fillId="0" fontId="3" numFmtId="4" xfId="0" applyAlignment="1" applyFont="1" applyNumberForma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8" max="8" width="13.0"/>
    <col customWidth="1" min="23" max="25" width="13.38"/>
  </cols>
  <sheetData>
    <row r="1" ht="15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6"/>
      <c r="V1" s="4"/>
      <c r="W1" s="4"/>
      <c r="X1" s="4"/>
      <c r="Y1" s="4"/>
      <c r="Z1" s="4"/>
      <c r="AA1" s="4"/>
    </row>
    <row r="2" ht="15.75" customHeight="1">
      <c r="A2" s="7" t="s">
        <v>1</v>
      </c>
      <c r="B2" s="8"/>
      <c r="C2" s="8"/>
      <c r="D2" s="8"/>
      <c r="E2" s="8"/>
      <c r="F2" s="9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4"/>
      <c r="W2" s="4"/>
      <c r="X2" s="4"/>
      <c r="Y2" s="4"/>
      <c r="Z2" s="4"/>
      <c r="AA2" s="4"/>
    </row>
    <row r="3" ht="15.75" customHeight="1">
      <c r="A3" s="7" t="s">
        <v>2</v>
      </c>
      <c r="B3" s="8"/>
      <c r="C3" s="8"/>
      <c r="D3" s="8"/>
      <c r="E3" s="8"/>
      <c r="F3" s="9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4"/>
      <c r="W3" s="4"/>
      <c r="X3" s="4"/>
      <c r="Y3" s="4"/>
      <c r="Z3" s="4"/>
      <c r="AA3" s="4"/>
    </row>
    <row r="4" ht="15.75" customHeight="1">
      <c r="A4" s="1" t="s">
        <v>3</v>
      </c>
      <c r="B4" s="2"/>
      <c r="C4" s="2"/>
      <c r="D4" s="2"/>
      <c r="E4" s="2"/>
      <c r="F4" s="3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4"/>
      <c r="W4" s="4"/>
      <c r="X4" s="4"/>
      <c r="Y4" s="4"/>
      <c r="Z4" s="4"/>
      <c r="AA4" s="4"/>
    </row>
    <row r="5" ht="15.75" customHeight="1">
      <c r="A5" s="10" t="s">
        <v>4</v>
      </c>
      <c r="F5" s="11"/>
      <c r="G5" s="4"/>
      <c r="H5" s="4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6"/>
      <c r="V5" s="4"/>
      <c r="W5" s="4"/>
      <c r="X5" s="4"/>
      <c r="Y5" s="4"/>
      <c r="Z5" s="4"/>
      <c r="AA5" s="4"/>
    </row>
    <row r="6" ht="15.75" customHeight="1">
      <c r="A6" s="12" t="s">
        <v>5</v>
      </c>
      <c r="B6" s="2"/>
      <c r="C6" s="2"/>
      <c r="D6" s="2"/>
      <c r="E6" s="2"/>
      <c r="F6" s="3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6"/>
      <c r="V6" s="4"/>
      <c r="W6" s="4"/>
      <c r="X6" s="4"/>
      <c r="Y6" s="4"/>
      <c r="Z6" s="4"/>
      <c r="AA6" s="4"/>
    </row>
    <row r="7" ht="15.75" customHeight="1">
      <c r="A7" s="13" t="s">
        <v>6</v>
      </c>
      <c r="B7" s="2"/>
      <c r="C7" s="2"/>
      <c r="D7" s="2"/>
      <c r="E7" s="2"/>
      <c r="F7" s="3"/>
      <c r="G7" s="4"/>
      <c r="H7" s="4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6"/>
      <c r="V7" s="4"/>
      <c r="W7" s="4"/>
      <c r="X7" s="4"/>
      <c r="Y7" s="4"/>
      <c r="Z7" s="4"/>
      <c r="AA7" s="4"/>
    </row>
    <row r="8" ht="15.75" customHeight="1">
      <c r="A8" s="4"/>
      <c r="G8" s="4"/>
      <c r="H8" s="4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6"/>
      <c r="V8" s="4"/>
      <c r="W8" s="4"/>
      <c r="X8" s="4"/>
      <c r="Y8" s="4"/>
      <c r="Z8" s="4"/>
      <c r="AA8" s="4"/>
    </row>
    <row r="9" ht="15.75" customHeight="1">
      <c r="A9" s="14" t="s">
        <v>7</v>
      </c>
      <c r="Y9" s="4"/>
      <c r="Z9" s="4"/>
      <c r="AA9" s="4"/>
    </row>
    <row r="10" ht="15.75" customHeight="1">
      <c r="A10" s="4"/>
      <c r="B10" s="4"/>
      <c r="C10" s="4"/>
      <c r="D10" s="4"/>
      <c r="E10" s="4"/>
      <c r="F10" s="4"/>
      <c r="G10" s="4"/>
      <c r="H10" s="4"/>
      <c r="I10" s="4"/>
      <c r="J10" s="15"/>
      <c r="K10" s="4"/>
      <c r="L10" s="4"/>
      <c r="M10" s="4"/>
      <c r="N10" s="4"/>
      <c r="O10" s="4"/>
      <c r="P10" s="4"/>
      <c r="Q10" s="4"/>
      <c r="R10" s="4"/>
      <c r="S10" s="4"/>
      <c r="T10" s="4"/>
      <c r="U10" s="6"/>
      <c r="V10" s="4"/>
      <c r="W10" s="16"/>
      <c r="X10" s="4"/>
      <c r="Y10" s="4"/>
      <c r="Z10" s="4"/>
      <c r="AA10" s="4"/>
    </row>
    <row r="11" ht="15.75" customHeight="1">
      <c r="A11" s="17" t="s">
        <v>8</v>
      </c>
      <c r="B11" s="2"/>
      <c r="C11" s="2"/>
      <c r="D11" s="2"/>
      <c r="E11" s="2"/>
      <c r="F11" s="2"/>
      <c r="G11" s="2"/>
      <c r="H11" s="2"/>
      <c r="I11" s="2"/>
      <c r="J11" s="3"/>
      <c r="K11" s="18" t="s">
        <v>9</v>
      </c>
      <c r="L11" s="17" t="s">
        <v>10</v>
      </c>
      <c r="M11" s="3"/>
      <c r="N11" s="19" t="s">
        <v>11</v>
      </c>
      <c r="O11" s="19" t="s">
        <v>12</v>
      </c>
      <c r="P11" s="17" t="s">
        <v>13</v>
      </c>
      <c r="Q11" s="3"/>
      <c r="R11" s="19" t="s">
        <v>14</v>
      </c>
      <c r="S11" s="17" t="s">
        <v>15</v>
      </c>
      <c r="T11" s="2"/>
      <c r="U11" s="2"/>
      <c r="V11" s="2"/>
      <c r="W11" s="2"/>
      <c r="X11" s="3"/>
      <c r="Y11" s="4"/>
      <c r="Z11" s="4"/>
      <c r="AA11" s="4"/>
    </row>
    <row r="12" ht="15.75" customHeight="1">
      <c r="A12" s="20" t="s">
        <v>16</v>
      </c>
      <c r="B12" s="21"/>
      <c r="C12" s="22" t="s">
        <v>17</v>
      </c>
      <c r="D12" s="22" t="s">
        <v>18</v>
      </c>
      <c r="E12" s="20" t="s">
        <v>19</v>
      </c>
      <c r="F12" s="21"/>
      <c r="G12" s="22" t="s">
        <v>20</v>
      </c>
      <c r="H12" s="20" t="s">
        <v>21</v>
      </c>
      <c r="I12" s="21"/>
      <c r="J12" s="23" t="s">
        <v>22</v>
      </c>
      <c r="K12" s="21"/>
      <c r="L12" s="24" t="s">
        <v>23</v>
      </c>
      <c r="M12" s="24" t="s">
        <v>24</v>
      </c>
      <c r="N12" s="25"/>
      <c r="O12" s="25"/>
      <c r="P12" s="24" t="s">
        <v>25</v>
      </c>
      <c r="Q12" s="24" t="s">
        <v>26</v>
      </c>
      <c r="R12" s="25"/>
      <c r="S12" s="24" t="s">
        <v>27</v>
      </c>
      <c r="T12" s="26" t="s">
        <v>28</v>
      </c>
      <c r="U12" s="24" t="s">
        <v>29</v>
      </c>
      <c r="V12" s="26" t="s">
        <v>28</v>
      </c>
      <c r="W12" s="27" t="s">
        <v>30</v>
      </c>
      <c r="X12" s="26" t="s">
        <v>28</v>
      </c>
      <c r="Y12" s="4"/>
      <c r="Z12" s="4"/>
      <c r="AA12" s="4"/>
    </row>
    <row r="13" ht="28.5" customHeight="1">
      <c r="A13" s="28" t="s">
        <v>31</v>
      </c>
      <c r="B13" s="28" t="s">
        <v>19</v>
      </c>
      <c r="C13" s="25"/>
      <c r="D13" s="25"/>
      <c r="E13" s="28" t="s">
        <v>32</v>
      </c>
      <c r="F13" s="28" t="s">
        <v>33</v>
      </c>
      <c r="G13" s="25"/>
      <c r="H13" s="28" t="s">
        <v>31</v>
      </c>
      <c r="I13" s="28" t="s">
        <v>19</v>
      </c>
      <c r="J13" s="25"/>
      <c r="K13" s="28" t="s">
        <v>34</v>
      </c>
      <c r="L13" s="28" t="s">
        <v>35</v>
      </c>
      <c r="M13" s="28" t="s">
        <v>36</v>
      </c>
      <c r="N13" s="28" t="s">
        <v>37</v>
      </c>
      <c r="O13" s="28" t="s">
        <v>38</v>
      </c>
      <c r="P13" s="28" t="s">
        <v>39</v>
      </c>
      <c r="Q13" s="28" t="s">
        <v>40</v>
      </c>
      <c r="R13" s="28" t="s">
        <v>41</v>
      </c>
      <c r="S13" s="28" t="s">
        <v>42</v>
      </c>
      <c r="T13" s="29" t="s">
        <v>43</v>
      </c>
      <c r="U13" s="28" t="s">
        <v>44</v>
      </c>
      <c r="V13" s="29" t="s">
        <v>45</v>
      </c>
      <c r="W13" s="30" t="s">
        <v>46</v>
      </c>
      <c r="X13" s="29" t="s">
        <v>47</v>
      </c>
      <c r="Y13" s="4"/>
      <c r="Z13" s="4"/>
      <c r="AA13" s="4"/>
    </row>
    <row r="14">
      <c r="A14" s="31" t="s">
        <v>48</v>
      </c>
      <c r="B14" s="32" t="s">
        <v>49</v>
      </c>
      <c r="C14" s="32" t="s">
        <v>50</v>
      </c>
      <c r="D14" s="32" t="s">
        <v>51</v>
      </c>
      <c r="E14" s="32" t="s">
        <v>52</v>
      </c>
      <c r="F14" s="32" t="s">
        <v>53</v>
      </c>
      <c r="G14" s="32" t="s">
        <v>54</v>
      </c>
      <c r="H14" s="32" t="s">
        <v>55</v>
      </c>
      <c r="I14" s="32" t="s">
        <v>56</v>
      </c>
      <c r="J14" s="33">
        <v>3.0</v>
      </c>
      <c r="K14" s="34">
        <v>100000.0</v>
      </c>
      <c r="L14" s="35">
        <v>866.54</v>
      </c>
      <c r="M14" s="35">
        <v>50866.54</v>
      </c>
      <c r="N14" s="36">
        <f t="shared" ref="N14:N27" si="1">K14+L14-M14</f>
        <v>50000</v>
      </c>
      <c r="O14" s="37"/>
      <c r="P14" s="37"/>
      <c r="Q14" s="37"/>
      <c r="R14" s="36">
        <f t="shared" ref="R14:R27" si="2">N14-O14+P14+Q14</f>
        <v>50000</v>
      </c>
      <c r="S14" s="35">
        <v>866.54</v>
      </c>
      <c r="T14" s="38">
        <f t="shared" ref="T14:T28" si="3">IF(R14&gt;0,S14/R14,0)</f>
        <v>0.0173308</v>
      </c>
      <c r="U14" s="39">
        <v>866.54</v>
      </c>
      <c r="V14" s="38">
        <f t="shared" ref="V14:V28" si="4">IF(R14&gt;0,U14/R14,0)</f>
        <v>0.0173308</v>
      </c>
      <c r="W14" s="35">
        <v>0.0</v>
      </c>
      <c r="X14" s="38">
        <f t="shared" ref="X14:X28" si="5">IF(R14&gt;0,W14/R14,0)</f>
        <v>0</v>
      </c>
      <c r="Y14" s="4"/>
      <c r="Z14" s="4"/>
      <c r="AA14" s="4"/>
    </row>
    <row r="15">
      <c r="A15" s="31" t="s">
        <v>48</v>
      </c>
      <c r="B15" s="32" t="s">
        <v>49</v>
      </c>
      <c r="C15" s="32" t="s">
        <v>50</v>
      </c>
      <c r="D15" s="32" t="s">
        <v>57</v>
      </c>
      <c r="E15" s="32" t="s">
        <v>52</v>
      </c>
      <c r="F15" s="32" t="s">
        <v>58</v>
      </c>
      <c r="G15" s="32" t="s">
        <v>54</v>
      </c>
      <c r="H15" s="32" t="s">
        <v>55</v>
      </c>
      <c r="I15" s="32" t="s">
        <v>56</v>
      </c>
      <c r="J15" s="33">
        <v>3.0</v>
      </c>
      <c r="K15" s="34">
        <v>9.2715102E7</v>
      </c>
      <c r="L15" s="35">
        <v>3907058.0</v>
      </c>
      <c r="M15" s="35">
        <v>1339000.0</v>
      </c>
      <c r="N15" s="36">
        <f t="shared" si="1"/>
        <v>95283160</v>
      </c>
      <c r="O15" s="40"/>
      <c r="P15" s="37"/>
      <c r="Q15" s="37"/>
      <c r="R15" s="36">
        <f t="shared" si="2"/>
        <v>95283160</v>
      </c>
      <c r="S15" s="35">
        <v>1.778331275E7</v>
      </c>
      <c r="T15" s="38">
        <f t="shared" si="3"/>
        <v>0.1866364712</v>
      </c>
      <c r="U15" s="39">
        <v>1.777736806E7</v>
      </c>
      <c r="V15" s="38">
        <f t="shared" si="4"/>
        <v>0.1865740815</v>
      </c>
      <c r="W15" s="35">
        <v>1.773992192E7</v>
      </c>
      <c r="X15" s="38">
        <f t="shared" si="5"/>
        <v>0.186181083</v>
      </c>
      <c r="Y15" s="41"/>
      <c r="Z15" s="4"/>
      <c r="AA15" s="4"/>
    </row>
    <row r="16">
      <c r="A16" s="31" t="s">
        <v>48</v>
      </c>
      <c r="B16" s="32" t="s">
        <v>49</v>
      </c>
      <c r="C16" s="32" t="s">
        <v>50</v>
      </c>
      <c r="D16" s="32" t="s">
        <v>57</v>
      </c>
      <c r="E16" s="32" t="s">
        <v>52</v>
      </c>
      <c r="F16" s="32" t="s">
        <v>58</v>
      </c>
      <c r="G16" s="32" t="s">
        <v>54</v>
      </c>
      <c r="H16" s="32" t="s">
        <v>59</v>
      </c>
      <c r="I16" s="32" t="s">
        <v>56</v>
      </c>
      <c r="J16" s="33">
        <v>3.0</v>
      </c>
      <c r="K16" s="34">
        <v>2000000.0</v>
      </c>
      <c r="L16" s="35">
        <v>0.0</v>
      </c>
      <c r="M16" s="35">
        <v>0.0</v>
      </c>
      <c r="N16" s="36">
        <f t="shared" si="1"/>
        <v>2000000</v>
      </c>
      <c r="O16" s="40"/>
      <c r="P16" s="37"/>
      <c r="Q16" s="37"/>
      <c r="R16" s="36">
        <f t="shared" si="2"/>
        <v>2000000</v>
      </c>
      <c r="S16" s="35">
        <v>0.0</v>
      </c>
      <c r="T16" s="38">
        <f t="shared" si="3"/>
        <v>0</v>
      </c>
      <c r="U16" s="39">
        <v>0.0</v>
      </c>
      <c r="V16" s="38">
        <f t="shared" si="4"/>
        <v>0</v>
      </c>
      <c r="W16" s="35">
        <v>0.0</v>
      </c>
      <c r="X16" s="38">
        <f t="shared" si="5"/>
        <v>0</v>
      </c>
      <c r="Y16" s="41"/>
      <c r="Z16" s="4"/>
      <c r="AA16" s="4"/>
    </row>
    <row r="17">
      <c r="A17" s="31" t="s">
        <v>48</v>
      </c>
      <c r="B17" s="32" t="s">
        <v>49</v>
      </c>
      <c r="C17" s="32" t="s">
        <v>50</v>
      </c>
      <c r="D17" s="32" t="s">
        <v>60</v>
      </c>
      <c r="E17" s="32" t="s">
        <v>52</v>
      </c>
      <c r="F17" s="32" t="s">
        <v>61</v>
      </c>
      <c r="G17" s="32" t="s">
        <v>54</v>
      </c>
      <c r="H17" s="32" t="s">
        <v>55</v>
      </c>
      <c r="I17" s="32" t="s">
        <v>56</v>
      </c>
      <c r="J17" s="42">
        <v>1.0</v>
      </c>
      <c r="K17" s="34">
        <v>5.75578426E8</v>
      </c>
      <c r="L17" s="35">
        <v>3.826516E7</v>
      </c>
      <c r="M17" s="35">
        <v>1.0833218E7</v>
      </c>
      <c r="N17" s="36">
        <f t="shared" si="1"/>
        <v>603010368</v>
      </c>
      <c r="O17" s="37"/>
      <c r="P17" s="37"/>
      <c r="Q17" s="37"/>
      <c r="R17" s="36">
        <f t="shared" si="2"/>
        <v>603010368</v>
      </c>
      <c r="S17" s="35">
        <v>2.3300012234E8</v>
      </c>
      <c r="T17" s="38">
        <f t="shared" si="3"/>
        <v>0.3863948859</v>
      </c>
      <c r="U17" s="43">
        <v>2.2081600938E8</v>
      </c>
      <c r="V17" s="38">
        <f t="shared" si="4"/>
        <v>0.3661894075</v>
      </c>
      <c r="W17" s="35">
        <v>1.7521727403E8</v>
      </c>
      <c r="X17" s="38">
        <f t="shared" si="5"/>
        <v>0.2905709144</v>
      </c>
      <c r="Y17" s="4"/>
      <c r="Z17" s="4"/>
      <c r="AA17" s="4"/>
    </row>
    <row r="18">
      <c r="A18" s="31" t="s">
        <v>48</v>
      </c>
      <c r="B18" s="32" t="s">
        <v>49</v>
      </c>
      <c r="C18" s="32" t="s">
        <v>50</v>
      </c>
      <c r="D18" s="32" t="s">
        <v>62</v>
      </c>
      <c r="E18" s="32" t="s">
        <v>52</v>
      </c>
      <c r="F18" s="32" t="s">
        <v>63</v>
      </c>
      <c r="G18" s="32" t="s">
        <v>54</v>
      </c>
      <c r="H18" s="32" t="s">
        <v>55</v>
      </c>
      <c r="I18" s="32" t="s">
        <v>56</v>
      </c>
      <c r="J18" s="42">
        <v>1.0</v>
      </c>
      <c r="K18" s="34">
        <v>1.80375566E8</v>
      </c>
      <c r="L18" s="35">
        <v>105000.0</v>
      </c>
      <c r="M18" s="35">
        <v>105000.0</v>
      </c>
      <c r="N18" s="36">
        <f t="shared" si="1"/>
        <v>180375566</v>
      </c>
      <c r="O18" s="37"/>
      <c r="P18" s="37"/>
      <c r="Q18" s="37"/>
      <c r="R18" s="36">
        <f t="shared" si="2"/>
        <v>180375566</v>
      </c>
      <c r="S18" s="35">
        <v>7.36741814E7</v>
      </c>
      <c r="T18" s="38">
        <f t="shared" si="3"/>
        <v>0.4084487885</v>
      </c>
      <c r="U18" s="43">
        <v>7.338983473E7</v>
      </c>
      <c r="V18" s="38">
        <f t="shared" si="4"/>
        <v>0.4068723739</v>
      </c>
      <c r="W18" s="35">
        <v>5.810064299E7</v>
      </c>
      <c r="X18" s="38">
        <f t="shared" si="5"/>
        <v>0.3221092761</v>
      </c>
      <c r="Y18" s="4"/>
      <c r="Z18" s="4"/>
      <c r="AA18" s="4"/>
    </row>
    <row r="19">
      <c r="A19" s="31" t="s">
        <v>48</v>
      </c>
      <c r="B19" s="32" t="s">
        <v>49</v>
      </c>
      <c r="C19" s="32" t="s">
        <v>50</v>
      </c>
      <c r="D19" s="32" t="s">
        <v>64</v>
      </c>
      <c r="E19" s="32" t="s">
        <v>52</v>
      </c>
      <c r="F19" s="32" t="s">
        <v>65</v>
      </c>
      <c r="G19" s="32" t="s">
        <v>54</v>
      </c>
      <c r="H19" s="32" t="s">
        <v>55</v>
      </c>
      <c r="I19" s="32" t="s">
        <v>56</v>
      </c>
      <c r="J19" s="33">
        <v>3.0</v>
      </c>
      <c r="K19" s="34">
        <v>3.0124E7</v>
      </c>
      <c r="L19" s="35">
        <v>0.0</v>
      </c>
      <c r="M19" s="35">
        <v>1093136.03</v>
      </c>
      <c r="N19" s="36">
        <f t="shared" si="1"/>
        <v>29030863.97</v>
      </c>
      <c r="O19" s="37"/>
      <c r="P19" s="37"/>
      <c r="Q19" s="37"/>
      <c r="R19" s="36">
        <f t="shared" si="2"/>
        <v>29030863.97</v>
      </c>
      <c r="S19" s="35">
        <v>5091138.98</v>
      </c>
      <c r="T19" s="38">
        <f t="shared" si="3"/>
        <v>0.1753698748</v>
      </c>
      <c r="U19" s="39">
        <v>5091017.91</v>
      </c>
      <c r="V19" s="38">
        <f t="shared" si="4"/>
        <v>0.1753657044</v>
      </c>
      <c r="W19" s="35">
        <v>5091017.91</v>
      </c>
      <c r="X19" s="38">
        <f t="shared" si="5"/>
        <v>0.1753657044</v>
      </c>
      <c r="Y19" s="4"/>
      <c r="Z19" s="4"/>
      <c r="AA19" s="4"/>
    </row>
    <row r="20">
      <c r="A20" s="31" t="s">
        <v>48</v>
      </c>
      <c r="B20" s="32" t="s">
        <v>49</v>
      </c>
      <c r="C20" s="32" t="s">
        <v>50</v>
      </c>
      <c r="D20" s="32" t="s">
        <v>66</v>
      </c>
      <c r="E20" s="32" t="s">
        <v>67</v>
      </c>
      <c r="F20" s="32" t="s">
        <v>68</v>
      </c>
      <c r="G20" s="32" t="s">
        <v>54</v>
      </c>
      <c r="H20" s="32" t="s">
        <v>55</v>
      </c>
      <c r="I20" s="32" t="s">
        <v>56</v>
      </c>
      <c r="J20" s="33">
        <v>3.0</v>
      </c>
      <c r="K20" s="34">
        <v>2.8933E7</v>
      </c>
      <c r="L20" s="35">
        <v>346000.0</v>
      </c>
      <c r="M20" s="35">
        <v>346000.0</v>
      </c>
      <c r="N20" s="36">
        <f t="shared" si="1"/>
        <v>28933000</v>
      </c>
      <c r="O20" s="37"/>
      <c r="P20" s="37"/>
      <c r="Q20" s="37"/>
      <c r="R20" s="36">
        <f t="shared" si="2"/>
        <v>28933000</v>
      </c>
      <c r="S20" s="35">
        <v>5115535.48</v>
      </c>
      <c r="T20" s="38">
        <f t="shared" si="3"/>
        <v>0.1768062586</v>
      </c>
      <c r="U20" s="39">
        <v>5114563.27</v>
      </c>
      <c r="V20" s="38">
        <f t="shared" si="4"/>
        <v>0.1767726565</v>
      </c>
      <c r="W20" s="35">
        <v>5114563.27</v>
      </c>
      <c r="X20" s="38">
        <f t="shared" si="5"/>
        <v>0.1767726565</v>
      </c>
      <c r="Y20" s="4"/>
      <c r="Z20" s="4"/>
      <c r="AA20" s="4"/>
    </row>
    <row r="21">
      <c r="A21" s="31" t="s">
        <v>48</v>
      </c>
      <c r="B21" s="32" t="s">
        <v>49</v>
      </c>
      <c r="C21" s="32" t="s">
        <v>50</v>
      </c>
      <c r="D21" s="32" t="s">
        <v>69</v>
      </c>
      <c r="E21" s="32" t="s">
        <v>67</v>
      </c>
      <c r="F21" s="32" t="s">
        <v>70</v>
      </c>
      <c r="G21" s="32" t="s">
        <v>54</v>
      </c>
      <c r="H21" s="32" t="s">
        <v>55</v>
      </c>
      <c r="I21" s="32" t="s">
        <v>56</v>
      </c>
      <c r="J21" s="33">
        <v>3.0</v>
      </c>
      <c r="K21" s="34">
        <v>50000.0</v>
      </c>
      <c r="L21" s="35">
        <v>0.0</v>
      </c>
      <c r="M21" s="35">
        <v>50000.0</v>
      </c>
      <c r="N21" s="36">
        <f t="shared" si="1"/>
        <v>0</v>
      </c>
      <c r="O21" s="37"/>
      <c r="P21" s="37"/>
      <c r="Q21" s="37"/>
      <c r="R21" s="36">
        <f t="shared" si="2"/>
        <v>0</v>
      </c>
      <c r="S21" s="35">
        <v>0.0</v>
      </c>
      <c r="T21" s="38">
        <f t="shared" si="3"/>
        <v>0</v>
      </c>
      <c r="U21" s="39">
        <v>0.0</v>
      </c>
      <c r="V21" s="38">
        <f t="shared" si="4"/>
        <v>0</v>
      </c>
      <c r="W21" s="35">
        <v>0.0</v>
      </c>
      <c r="X21" s="38">
        <f t="shared" si="5"/>
        <v>0</v>
      </c>
      <c r="Y21" s="4"/>
      <c r="Z21" s="4"/>
      <c r="AA21" s="4"/>
    </row>
    <row r="22">
      <c r="A22" s="31" t="s">
        <v>48</v>
      </c>
      <c r="B22" s="32" t="s">
        <v>49</v>
      </c>
      <c r="C22" s="32" t="s">
        <v>50</v>
      </c>
      <c r="D22" s="32" t="s">
        <v>71</v>
      </c>
      <c r="E22" s="32" t="s">
        <v>67</v>
      </c>
      <c r="F22" s="32" t="s">
        <v>72</v>
      </c>
      <c r="G22" s="32" t="s">
        <v>54</v>
      </c>
      <c r="H22" s="32" t="s">
        <v>55</v>
      </c>
      <c r="I22" s="32" t="s">
        <v>56</v>
      </c>
      <c r="J22" s="42">
        <v>1.0</v>
      </c>
      <c r="K22" s="34">
        <v>1.66762665E8</v>
      </c>
      <c r="L22" s="35">
        <v>4312974.26</v>
      </c>
      <c r="M22" s="35">
        <v>4312974.26</v>
      </c>
      <c r="N22" s="36">
        <f t="shared" si="1"/>
        <v>166762665</v>
      </c>
      <c r="O22" s="37"/>
      <c r="P22" s="37"/>
      <c r="Q22" s="37"/>
      <c r="R22" s="36">
        <f t="shared" si="2"/>
        <v>166762665</v>
      </c>
      <c r="S22" s="35">
        <v>6.58004469E7</v>
      </c>
      <c r="T22" s="38">
        <f t="shared" si="3"/>
        <v>0.3945754099</v>
      </c>
      <c r="U22" s="43">
        <v>6.22356243E7</v>
      </c>
      <c r="V22" s="38">
        <f t="shared" si="4"/>
        <v>0.373198787</v>
      </c>
      <c r="W22" s="35">
        <v>4.888221057E7</v>
      </c>
      <c r="X22" s="38">
        <f t="shared" si="5"/>
        <v>0.2931244267</v>
      </c>
      <c r="Y22" s="4"/>
      <c r="Z22" s="4"/>
      <c r="AA22" s="4"/>
    </row>
    <row r="23">
      <c r="A23" s="31" t="s">
        <v>48</v>
      </c>
      <c r="B23" s="32" t="s">
        <v>49</v>
      </c>
      <c r="C23" s="32" t="s">
        <v>73</v>
      </c>
      <c r="D23" s="32" t="s">
        <v>74</v>
      </c>
      <c r="E23" s="32" t="s">
        <v>52</v>
      </c>
      <c r="F23" s="32" t="s">
        <v>75</v>
      </c>
      <c r="G23" s="32" t="s">
        <v>54</v>
      </c>
      <c r="H23" s="32" t="s">
        <v>55</v>
      </c>
      <c r="I23" s="32" t="s">
        <v>56</v>
      </c>
      <c r="J23" s="42">
        <v>1.0</v>
      </c>
      <c r="K23" s="44">
        <v>580890.0</v>
      </c>
      <c r="L23" s="35">
        <v>0.0</v>
      </c>
      <c r="M23" s="35">
        <v>0.0</v>
      </c>
      <c r="N23" s="45">
        <f t="shared" si="1"/>
        <v>580890</v>
      </c>
      <c r="O23" s="37"/>
      <c r="P23" s="37"/>
      <c r="Q23" s="37"/>
      <c r="R23" s="45">
        <f t="shared" si="2"/>
        <v>580890</v>
      </c>
      <c r="S23" s="34">
        <v>40675.0</v>
      </c>
      <c r="T23" s="46">
        <f t="shared" si="3"/>
        <v>0.070021863</v>
      </c>
      <c r="U23" s="43">
        <v>40675.0</v>
      </c>
      <c r="V23" s="46">
        <f t="shared" si="4"/>
        <v>0.070021863</v>
      </c>
      <c r="W23" s="35">
        <v>25015.0</v>
      </c>
      <c r="X23" s="46">
        <f t="shared" si="5"/>
        <v>0.04306323056</v>
      </c>
      <c r="Y23" s="4"/>
      <c r="Z23" s="4"/>
      <c r="AA23" s="4"/>
    </row>
    <row r="24">
      <c r="A24" s="31" t="s">
        <v>48</v>
      </c>
      <c r="B24" s="32" t="s">
        <v>49</v>
      </c>
      <c r="C24" s="32" t="s">
        <v>73</v>
      </c>
      <c r="D24" s="32" t="s">
        <v>76</v>
      </c>
      <c r="E24" s="32" t="s">
        <v>52</v>
      </c>
      <c r="F24" s="32" t="s">
        <v>77</v>
      </c>
      <c r="G24" s="32" t="s">
        <v>54</v>
      </c>
      <c r="H24" s="32" t="s">
        <v>55</v>
      </c>
      <c r="I24" s="32" t="s">
        <v>56</v>
      </c>
      <c r="J24" s="42">
        <v>1.0</v>
      </c>
      <c r="K24" s="44">
        <v>258000.0</v>
      </c>
      <c r="L24" s="35">
        <v>100000.0</v>
      </c>
      <c r="M24" s="35">
        <v>0.0</v>
      </c>
      <c r="N24" s="45">
        <f t="shared" si="1"/>
        <v>358000</v>
      </c>
      <c r="O24" s="37"/>
      <c r="P24" s="37"/>
      <c r="Q24" s="37"/>
      <c r="R24" s="45">
        <f t="shared" si="2"/>
        <v>358000</v>
      </c>
      <c r="S24" s="34">
        <v>264730.0</v>
      </c>
      <c r="T24" s="46">
        <f t="shared" si="3"/>
        <v>0.7394692737</v>
      </c>
      <c r="U24" s="43">
        <v>222100.0</v>
      </c>
      <c r="V24" s="46">
        <f t="shared" si="4"/>
        <v>0.6203910615</v>
      </c>
      <c r="W24" s="35">
        <v>168835.0</v>
      </c>
      <c r="X24" s="46">
        <f t="shared" si="5"/>
        <v>0.4716061453</v>
      </c>
      <c r="Y24" s="4"/>
      <c r="Z24" s="4"/>
      <c r="AA24" s="4"/>
    </row>
    <row r="25">
      <c r="A25" s="31" t="s">
        <v>48</v>
      </c>
      <c r="B25" s="32" t="s">
        <v>49</v>
      </c>
      <c r="C25" s="32" t="s">
        <v>78</v>
      </c>
      <c r="D25" s="32" t="s">
        <v>79</v>
      </c>
      <c r="E25" s="32" t="s">
        <v>80</v>
      </c>
      <c r="F25" s="32" t="s">
        <v>81</v>
      </c>
      <c r="G25" s="32" t="s">
        <v>82</v>
      </c>
      <c r="H25" s="32" t="s">
        <v>55</v>
      </c>
      <c r="I25" s="32" t="s">
        <v>56</v>
      </c>
      <c r="J25" s="42">
        <v>1.0</v>
      </c>
      <c r="K25" s="47">
        <f>187994351-K26</f>
        <v>175416453</v>
      </c>
      <c r="L25" s="48">
        <f t="shared" ref="L25:M25" si="6">20826802-L26</f>
        <v>20181151</v>
      </c>
      <c r="M25" s="48">
        <f t="shared" si="6"/>
        <v>20181151</v>
      </c>
      <c r="N25" s="36">
        <f t="shared" si="1"/>
        <v>175416453</v>
      </c>
      <c r="O25" s="37"/>
      <c r="P25" s="37"/>
      <c r="Q25" s="36">
        <f>-15286377.04-20657932.66</f>
        <v>-35944309.7</v>
      </c>
      <c r="R25" s="36">
        <f t="shared" si="2"/>
        <v>139472143.3</v>
      </c>
      <c r="S25" s="48">
        <f>47251211.11-S26</f>
        <v>40647849.49</v>
      </c>
      <c r="T25" s="38">
        <f t="shared" si="3"/>
        <v>0.2914406313</v>
      </c>
      <c r="U25" s="49">
        <f>22678126.6-U26</f>
        <v>17202305.64</v>
      </c>
      <c r="V25" s="38">
        <f t="shared" si="4"/>
        <v>0.1233386484</v>
      </c>
      <c r="W25" s="48">
        <f>18892469.76-W26</f>
        <v>13416648.8</v>
      </c>
      <c r="X25" s="38">
        <f t="shared" si="5"/>
        <v>0.09619590323</v>
      </c>
      <c r="Y25" s="4"/>
      <c r="Z25" s="4"/>
      <c r="AA25" s="4"/>
    </row>
    <row r="26">
      <c r="A26" s="31" t="s">
        <v>48</v>
      </c>
      <c r="B26" s="32" t="s">
        <v>49</v>
      </c>
      <c r="C26" s="32" t="s">
        <v>78</v>
      </c>
      <c r="D26" s="32" t="s">
        <v>79</v>
      </c>
      <c r="E26" s="32" t="s">
        <v>80</v>
      </c>
      <c r="F26" s="32" t="s">
        <v>81</v>
      </c>
      <c r="G26" s="32" t="s">
        <v>82</v>
      </c>
      <c r="H26" s="32" t="s">
        <v>55</v>
      </c>
      <c r="I26" s="32" t="s">
        <v>56</v>
      </c>
      <c r="J26" s="33">
        <v>3.0</v>
      </c>
      <c r="K26" s="47">
        <f>12577898</f>
        <v>12577898</v>
      </c>
      <c r="L26" s="48">
        <f t="shared" ref="L26:M26" si="7">645651</f>
        <v>645651</v>
      </c>
      <c r="M26" s="48">
        <f t="shared" si="7"/>
        <v>645651</v>
      </c>
      <c r="N26" s="36">
        <f t="shared" si="1"/>
        <v>12577898</v>
      </c>
      <c r="O26" s="37"/>
      <c r="P26" s="37"/>
      <c r="Q26" s="37"/>
      <c r="R26" s="36">
        <f t="shared" si="2"/>
        <v>12577898</v>
      </c>
      <c r="S26" s="48">
        <f>166921.82+5790789.43+645650.37</f>
        <v>6603361.62</v>
      </c>
      <c r="T26" s="38">
        <f t="shared" si="3"/>
        <v>0.5249972309</v>
      </c>
      <c r="U26" s="50">
        <f>166921.82+4663248.77+645650.37</f>
        <v>5475820.96</v>
      </c>
      <c r="V26" s="38">
        <f t="shared" si="4"/>
        <v>0.4353526289</v>
      </c>
      <c r="W26" s="47">
        <f>166921.82+4663248.77+645650.37</f>
        <v>5475820.96</v>
      </c>
      <c r="X26" s="38">
        <f t="shared" si="5"/>
        <v>0.4353526289</v>
      </c>
      <c r="Y26" s="4"/>
      <c r="Z26" s="4"/>
      <c r="AA26" s="4"/>
    </row>
    <row r="27">
      <c r="A27" s="31" t="s">
        <v>48</v>
      </c>
      <c r="B27" s="51" t="s">
        <v>49</v>
      </c>
      <c r="C27" s="51" t="s">
        <v>83</v>
      </c>
      <c r="D27" s="51" t="s">
        <v>84</v>
      </c>
      <c r="E27" s="51" t="s">
        <v>85</v>
      </c>
      <c r="F27" s="51" t="s">
        <v>86</v>
      </c>
      <c r="G27" s="51" t="s">
        <v>54</v>
      </c>
      <c r="H27" s="51" t="s">
        <v>55</v>
      </c>
      <c r="I27" s="32" t="s">
        <v>56</v>
      </c>
      <c r="J27" s="42">
        <v>1.0</v>
      </c>
      <c r="K27" s="35">
        <v>7095000.0</v>
      </c>
      <c r="L27" s="35">
        <v>1093136.03</v>
      </c>
      <c r="M27" s="35">
        <v>0.0</v>
      </c>
      <c r="N27" s="36">
        <f t="shared" si="1"/>
        <v>8188136.03</v>
      </c>
      <c r="O27" s="37"/>
      <c r="P27" s="37"/>
      <c r="Q27" s="37"/>
      <c r="R27" s="36">
        <f t="shared" si="2"/>
        <v>8188136.03</v>
      </c>
      <c r="S27" s="35">
        <v>79439.33</v>
      </c>
      <c r="T27" s="38">
        <f t="shared" si="3"/>
        <v>0.009701759925</v>
      </c>
      <c r="U27" s="43">
        <v>79439.33</v>
      </c>
      <c r="V27" s="38">
        <f t="shared" si="4"/>
        <v>0.009701759925</v>
      </c>
      <c r="W27" s="35">
        <v>79439.33</v>
      </c>
      <c r="X27" s="38">
        <f t="shared" si="5"/>
        <v>0.009701759925</v>
      </c>
      <c r="Y27" s="4"/>
      <c r="Z27" s="4"/>
      <c r="AA27" s="4"/>
    </row>
    <row r="28" ht="15.75" customHeight="1">
      <c r="A28" s="52" t="s">
        <v>87</v>
      </c>
      <c r="B28" s="2"/>
      <c r="C28" s="2"/>
      <c r="D28" s="2"/>
      <c r="E28" s="2"/>
      <c r="F28" s="2"/>
      <c r="G28" s="2"/>
      <c r="H28" s="2"/>
      <c r="I28" s="2"/>
      <c r="J28" s="3"/>
      <c r="K28" s="53">
        <f t="shared" ref="K28:S28" si="8">SUM(K14:K27)</f>
        <v>1272567000</v>
      </c>
      <c r="L28" s="53">
        <f t="shared" si="8"/>
        <v>68956996.83</v>
      </c>
      <c r="M28" s="53">
        <f t="shared" si="8"/>
        <v>38956996.83</v>
      </c>
      <c r="N28" s="53">
        <f t="shared" si="8"/>
        <v>1302567000</v>
      </c>
      <c r="O28" s="53">
        <f t="shared" si="8"/>
        <v>0</v>
      </c>
      <c r="P28" s="53">
        <f t="shared" si="8"/>
        <v>0</v>
      </c>
      <c r="Q28" s="53">
        <f t="shared" si="8"/>
        <v>-35944309.7</v>
      </c>
      <c r="R28" s="53">
        <f t="shared" si="8"/>
        <v>1266622690</v>
      </c>
      <c r="S28" s="53">
        <f t="shared" si="8"/>
        <v>448101659.8</v>
      </c>
      <c r="T28" s="54">
        <f t="shared" si="3"/>
        <v>0.3537767508</v>
      </c>
      <c r="U28" s="53">
        <f>SUM(U14:U27)</f>
        <v>407445625.1</v>
      </c>
      <c r="V28" s="54">
        <f t="shared" si="4"/>
        <v>0.3216787669</v>
      </c>
      <c r="W28" s="53">
        <f>SUM(W14:W27)</f>
        <v>329311389.8</v>
      </c>
      <c r="X28" s="54">
        <f t="shared" si="5"/>
        <v>0.2599917026</v>
      </c>
      <c r="Y28" s="4"/>
      <c r="Z28" s="4"/>
      <c r="AA28" s="4"/>
    </row>
    <row r="29" ht="15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6"/>
      <c r="L29" s="56"/>
      <c r="M29" s="56"/>
      <c r="N29" s="56"/>
      <c r="O29" s="56"/>
      <c r="P29" s="56"/>
      <c r="Q29" s="56"/>
      <c r="R29" s="56"/>
      <c r="S29" s="56"/>
      <c r="T29" s="57"/>
      <c r="U29" s="56"/>
      <c r="V29" s="57"/>
      <c r="W29" s="56"/>
      <c r="X29" s="57"/>
      <c r="Y29" s="4"/>
      <c r="Z29" s="4"/>
      <c r="AA29" s="4"/>
    </row>
    <row r="30" ht="15.75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9"/>
      <c r="L30" s="59"/>
      <c r="M30" s="59"/>
      <c r="N30" s="59"/>
      <c r="O30" s="59"/>
      <c r="P30" s="59"/>
      <c r="Q30" s="59"/>
      <c r="R30" s="59"/>
      <c r="S30" s="59"/>
      <c r="T30" s="60"/>
      <c r="U30" s="59"/>
      <c r="V30" s="60"/>
      <c r="W30" s="59"/>
      <c r="X30" s="60"/>
      <c r="Y30" s="4"/>
      <c r="Z30" s="4"/>
      <c r="AA30" s="4"/>
    </row>
    <row r="31">
      <c r="A31" s="31" t="s">
        <v>88</v>
      </c>
      <c r="B31" s="32" t="s">
        <v>89</v>
      </c>
      <c r="C31" s="32" t="s">
        <v>50</v>
      </c>
      <c r="D31" s="32" t="s">
        <v>90</v>
      </c>
      <c r="E31" s="32" t="s">
        <v>52</v>
      </c>
      <c r="F31" s="32" t="s">
        <v>91</v>
      </c>
      <c r="G31" s="32" t="s">
        <v>54</v>
      </c>
      <c r="H31" s="32" t="s">
        <v>92</v>
      </c>
      <c r="I31" s="32" t="s">
        <v>93</v>
      </c>
      <c r="J31" s="61">
        <v>4.0</v>
      </c>
      <c r="K31" s="44">
        <v>5700000.0</v>
      </c>
      <c r="L31" s="35">
        <v>0.0</v>
      </c>
      <c r="M31" s="35">
        <v>0.0</v>
      </c>
      <c r="N31" s="36">
        <f t="shared" ref="N31:N66" si="9">K31+L31-M31</f>
        <v>5700000</v>
      </c>
      <c r="O31" s="37"/>
      <c r="P31" s="37"/>
      <c r="Q31" s="37"/>
      <c r="R31" s="36">
        <f t="shared" ref="R31:R66" si="10">N31-O31+P31+Q31</f>
        <v>5700000</v>
      </c>
      <c r="S31" s="44">
        <v>3919341.19</v>
      </c>
      <c r="T31" s="38">
        <f t="shared" ref="T31:T68" si="11">IF(R31&gt;0,S31/R31,0)</f>
        <v>0.6876037175</v>
      </c>
      <c r="U31" s="62">
        <v>467677.41</v>
      </c>
      <c r="V31" s="38">
        <f t="shared" ref="V31:V64" si="12">IF(R31&gt;0,U31/R31,0)</f>
        <v>0.08204866842</v>
      </c>
      <c r="W31" s="35">
        <v>467677.41</v>
      </c>
      <c r="X31" s="38">
        <f t="shared" ref="X31:X68" si="13">IF(R31&gt;0,W31/R31,0)</f>
        <v>0.08204866842</v>
      </c>
      <c r="Y31" s="4"/>
      <c r="Z31" s="4"/>
      <c r="AA31" s="4"/>
    </row>
    <row r="32">
      <c r="A32" s="31" t="s">
        <v>88</v>
      </c>
      <c r="B32" s="32" t="s">
        <v>89</v>
      </c>
      <c r="C32" s="32" t="s">
        <v>50</v>
      </c>
      <c r="D32" s="32" t="s">
        <v>94</v>
      </c>
      <c r="E32" s="32" t="s">
        <v>52</v>
      </c>
      <c r="F32" s="32" t="s">
        <v>91</v>
      </c>
      <c r="G32" s="32" t="s">
        <v>54</v>
      </c>
      <c r="H32" s="32" t="s">
        <v>95</v>
      </c>
      <c r="I32" s="32" t="s">
        <v>93</v>
      </c>
      <c r="J32" s="61">
        <v>4.0</v>
      </c>
      <c r="K32" s="44">
        <v>0.0</v>
      </c>
      <c r="L32" s="35">
        <v>6763697.44</v>
      </c>
      <c r="M32" s="35">
        <v>0.0</v>
      </c>
      <c r="N32" s="36">
        <f t="shared" si="9"/>
        <v>6763697.44</v>
      </c>
      <c r="O32" s="37"/>
      <c r="P32" s="37"/>
      <c r="Q32" s="37"/>
      <c r="R32" s="36">
        <f t="shared" si="10"/>
        <v>6763697.44</v>
      </c>
      <c r="S32" s="44">
        <v>6763697.44</v>
      </c>
      <c r="T32" s="38">
        <f t="shared" si="11"/>
        <v>1</v>
      </c>
      <c r="U32" s="62">
        <v>422173.92</v>
      </c>
      <c r="V32" s="38">
        <f t="shared" si="12"/>
        <v>0.06241762346</v>
      </c>
      <c r="W32" s="35">
        <v>422173.92</v>
      </c>
      <c r="X32" s="38">
        <f t="shared" si="13"/>
        <v>0.06241762346</v>
      </c>
      <c r="Y32" s="4"/>
      <c r="Z32" s="4"/>
      <c r="AA32" s="4"/>
    </row>
    <row r="33">
      <c r="A33" s="31" t="s">
        <v>88</v>
      </c>
      <c r="B33" s="32" t="s">
        <v>89</v>
      </c>
      <c r="C33" s="32" t="s">
        <v>50</v>
      </c>
      <c r="D33" s="32" t="s">
        <v>96</v>
      </c>
      <c r="E33" s="32" t="s">
        <v>52</v>
      </c>
      <c r="F33" s="32" t="s">
        <v>91</v>
      </c>
      <c r="G33" s="32" t="s">
        <v>54</v>
      </c>
      <c r="H33" s="32" t="s">
        <v>92</v>
      </c>
      <c r="I33" s="32" t="s">
        <v>93</v>
      </c>
      <c r="J33" s="61">
        <v>4.0</v>
      </c>
      <c r="K33" s="44">
        <v>2.6E7</v>
      </c>
      <c r="L33" s="35">
        <v>0.0</v>
      </c>
      <c r="M33" s="35">
        <v>2931364.22</v>
      </c>
      <c r="N33" s="36">
        <f t="shared" si="9"/>
        <v>23068635.78</v>
      </c>
      <c r="O33" s="37"/>
      <c r="P33" s="37"/>
      <c r="Q33" s="37"/>
      <c r="R33" s="36">
        <f t="shared" si="10"/>
        <v>23068635.78</v>
      </c>
      <c r="S33" s="44">
        <v>1.57383032E7</v>
      </c>
      <c r="T33" s="38">
        <f t="shared" si="11"/>
        <v>0.6822381414</v>
      </c>
      <c r="U33" s="62">
        <v>3410891.05</v>
      </c>
      <c r="V33" s="38">
        <f t="shared" si="12"/>
        <v>0.1478583772</v>
      </c>
      <c r="W33" s="35">
        <v>3410891.05</v>
      </c>
      <c r="X33" s="38">
        <f t="shared" si="13"/>
        <v>0.1478583772</v>
      </c>
      <c r="Y33" s="4"/>
      <c r="Z33" s="4"/>
      <c r="AA33" s="4"/>
    </row>
    <row r="34">
      <c r="A34" s="31" t="s">
        <v>88</v>
      </c>
      <c r="B34" s="32" t="s">
        <v>89</v>
      </c>
      <c r="C34" s="32" t="s">
        <v>50</v>
      </c>
      <c r="D34" s="32" t="s">
        <v>97</v>
      </c>
      <c r="E34" s="32" t="s">
        <v>52</v>
      </c>
      <c r="F34" s="32" t="s">
        <v>91</v>
      </c>
      <c r="G34" s="32" t="s">
        <v>54</v>
      </c>
      <c r="H34" s="32" t="s">
        <v>92</v>
      </c>
      <c r="I34" s="32" t="s">
        <v>93</v>
      </c>
      <c r="J34" s="61">
        <v>4.0</v>
      </c>
      <c r="K34" s="44">
        <v>6150000.0</v>
      </c>
      <c r="L34" s="35">
        <v>504005.81</v>
      </c>
      <c r="M34" s="35">
        <v>0.0</v>
      </c>
      <c r="N34" s="36">
        <f t="shared" si="9"/>
        <v>6654005.81</v>
      </c>
      <c r="O34" s="37"/>
      <c r="P34" s="37"/>
      <c r="Q34" s="37"/>
      <c r="R34" s="36">
        <f t="shared" si="10"/>
        <v>6654005.81</v>
      </c>
      <c r="S34" s="44">
        <v>6654005.81</v>
      </c>
      <c r="T34" s="38">
        <f t="shared" si="11"/>
        <v>1</v>
      </c>
      <c r="U34" s="62">
        <v>253041.3</v>
      </c>
      <c r="V34" s="38">
        <f t="shared" si="12"/>
        <v>0.03802841585</v>
      </c>
      <c r="W34" s="35">
        <v>253041.3</v>
      </c>
      <c r="X34" s="38">
        <f t="shared" si="13"/>
        <v>0.03802841585</v>
      </c>
      <c r="Y34" s="4"/>
      <c r="Z34" s="4"/>
      <c r="AA34" s="4"/>
    </row>
    <row r="35">
      <c r="A35" s="31" t="s">
        <v>88</v>
      </c>
      <c r="B35" s="32" t="s">
        <v>89</v>
      </c>
      <c r="C35" s="32" t="s">
        <v>50</v>
      </c>
      <c r="D35" s="32" t="s">
        <v>98</v>
      </c>
      <c r="E35" s="32" t="s">
        <v>52</v>
      </c>
      <c r="F35" s="32" t="s">
        <v>91</v>
      </c>
      <c r="G35" s="32" t="s">
        <v>54</v>
      </c>
      <c r="H35" s="32" t="s">
        <v>92</v>
      </c>
      <c r="I35" s="32" t="s">
        <v>93</v>
      </c>
      <c r="J35" s="61">
        <v>4.0</v>
      </c>
      <c r="K35" s="44">
        <v>0.0</v>
      </c>
      <c r="L35" s="35">
        <v>5800000.0</v>
      </c>
      <c r="M35" s="35">
        <v>0.0</v>
      </c>
      <c r="N35" s="36">
        <f t="shared" si="9"/>
        <v>5800000</v>
      </c>
      <c r="O35" s="37"/>
      <c r="P35" s="37"/>
      <c r="Q35" s="37"/>
      <c r="R35" s="36">
        <f t="shared" si="10"/>
        <v>5800000</v>
      </c>
      <c r="S35" s="44">
        <v>5800000.0</v>
      </c>
      <c r="T35" s="38">
        <f t="shared" si="11"/>
        <v>1</v>
      </c>
      <c r="U35" s="62">
        <v>1076721.49</v>
      </c>
      <c r="V35" s="38">
        <f t="shared" si="12"/>
        <v>0.1856416362</v>
      </c>
      <c r="W35" s="35">
        <v>1076721.49</v>
      </c>
      <c r="X35" s="38">
        <f t="shared" si="13"/>
        <v>0.1856416362</v>
      </c>
      <c r="Y35" s="4"/>
      <c r="Z35" s="4"/>
      <c r="AA35" s="4"/>
    </row>
    <row r="36">
      <c r="A36" s="31" t="s">
        <v>88</v>
      </c>
      <c r="B36" s="32" t="s">
        <v>89</v>
      </c>
      <c r="C36" s="32" t="s">
        <v>50</v>
      </c>
      <c r="D36" s="32" t="s">
        <v>99</v>
      </c>
      <c r="E36" s="32" t="s">
        <v>52</v>
      </c>
      <c r="F36" s="32" t="s">
        <v>91</v>
      </c>
      <c r="G36" s="32" t="s">
        <v>54</v>
      </c>
      <c r="H36" s="32" t="s">
        <v>92</v>
      </c>
      <c r="I36" s="32" t="s">
        <v>93</v>
      </c>
      <c r="J36" s="61">
        <v>4.0</v>
      </c>
      <c r="K36" s="44">
        <v>5800000.0</v>
      </c>
      <c r="L36" s="35">
        <v>0.0</v>
      </c>
      <c r="M36" s="35">
        <v>0.0</v>
      </c>
      <c r="N36" s="36">
        <f t="shared" si="9"/>
        <v>5800000</v>
      </c>
      <c r="O36" s="37"/>
      <c r="P36" s="37"/>
      <c r="Q36" s="37"/>
      <c r="R36" s="36">
        <f t="shared" si="10"/>
        <v>5800000</v>
      </c>
      <c r="S36" s="44">
        <v>4560746.93</v>
      </c>
      <c r="T36" s="38">
        <f t="shared" si="11"/>
        <v>0.7863356776</v>
      </c>
      <c r="U36" s="62">
        <v>1005061.8</v>
      </c>
      <c r="V36" s="38">
        <f t="shared" si="12"/>
        <v>0.1732865172</v>
      </c>
      <c r="W36" s="35">
        <v>1005061.8</v>
      </c>
      <c r="X36" s="38">
        <f t="shared" si="13"/>
        <v>0.1732865172</v>
      </c>
      <c r="Y36" s="4"/>
      <c r="Z36" s="4"/>
      <c r="AA36" s="4"/>
    </row>
    <row r="37">
      <c r="A37" s="31" t="s">
        <v>88</v>
      </c>
      <c r="B37" s="32" t="s">
        <v>89</v>
      </c>
      <c r="C37" s="32" t="s">
        <v>50</v>
      </c>
      <c r="D37" s="32" t="s">
        <v>99</v>
      </c>
      <c r="E37" s="32" t="s">
        <v>52</v>
      </c>
      <c r="F37" s="32" t="s">
        <v>91</v>
      </c>
      <c r="G37" s="32" t="s">
        <v>54</v>
      </c>
      <c r="H37" s="32" t="s">
        <v>95</v>
      </c>
      <c r="I37" s="32" t="s">
        <v>93</v>
      </c>
      <c r="J37" s="61">
        <v>4.0</v>
      </c>
      <c r="K37" s="44">
        <v>0.0</v>
      </c>
      <c r="L37" s="35">
        <v>3328844.83</v>
      </c>
      <c r="M37" s="35">
        <v>0.0</v>
      </c>
      <c r="N37" s="36">
        <f t="shared" si="9"/>
        <v>3328844.83</v>
      </c>
      <c r="O37" s="37"/>
      <c r="P37" s="37"/>
      <c r="Q37" s="37"/>
      <c r="R37" s="36">
        <f t="shared" si="10"/>
        <v>3328844.83</v>
      </c>
      <c r="S37" s="44">
        <v>3328844.83</v>
      </c>
      <c r="T37" s="38">
        <f t="shared" si="11"/>
        <v>1</v>
      </c>
      <c r="U37" s="62">
        <v>429139.81</v>
      </c>
      <c r="V37" s="38">
        <f t="shared" si="12"/>
        <v>0.1289155343</v>
      </c>
      <c r="W37" s="35">
        <v>429139.81</v>
      </c>
      <c r="X37" s="38">
        <f t="shared" si="13"/>
        <v>0.1289155343</v>
      </c>
      <c r="Y37" s="4"/>
      <c r="Z37" s="4"/>
      <c r="AA37" s="4"/>
    </row>
    <row r="38">
      <c r="A38" s="31" t="s">
        <v>88</v>
      </c>
      <c r="B38" s="32" t="s">
        <v>89</v>
      </c>
      <c r="C38" s="32" t="s">
        <v>50</v>
      </c>
      <c r="D38" s="32" t="s">
        <v>100</v>
      </c>
      <c r="E38" s="32" t="s">
        <v>52</v>
      </c>
      <c r="F38" s="32" t="s">
        <v>91</v>
      </c>
      <c r="G38" s="32" t="s">
        <v>54</v>
      </c>
      <c r="H38" s="32" t="s">
        <v>92</v>
      </c>
      <c r="I38" s="32" t="s">
        <v>93</v>
      </c>
      <c r="J38" s="61">
        <v>4.0</v>
      </c>
      <c r="K38" s="44">
        <v>8500000.0</v>
      </c>
      <c r="L38" s="35">
        <v>0.0</v>
      </c>
      <c r="M38" s="35">
        <v>504005.81</v>
      </c>
      <c r="N38" s="36">
        <f t="shared" si="9"/>
        <v>7995994.19</v>
      </c>
      <c r="O38" s="37"/>
      <c r="P38" s="37"/>
      <c r="Q38" s="37"/>
      <c r="R38" s="36">
        <f t="shared" si="10"/>
        <v>7995994.19</v>
      </c>
      <c r="S38" s="44">
        <v>6671994.23</v>
      </c>
      <c r="T38" s="38">
        <f t="shared" si="11"/>
        <v>0.8344170933</v>
      </c>
      <c r="U38" s="62">
        <v>571888.34</v>
      </c>
      <c r="V38" s="38">
        <f t="shared" si="12"/>
        <v>0.07152185537</v>
      </c>
      <c r="W38" s="35">
        <v>571888.34</v>
      </c>
      <c r="X38" s="38">
        <f t="shared" si="13"/>
        <v>0.07152185537</v>
      </c>
      <c r="Y38" s="4"/>
      <c r="Z38" s="4"/>
      <c r="AA38" s="4"/>
    </row>
    <row r="39">
      <c r="A39" s="31" t="s">
        <v>88</v>
      </c>
      <c r="B39" s="32" t="s">
        <v>89</v>
      </c>
      <c r="C39" s="32" t="s">
        <v>50</v>
      </c>
      <c r="D39" s="32" t="s">
        <v>101</v>
      </c>
      <c r="E39" s="32" t="s">
        <v>52</v>
      </c>
      <c r="F39" s="32" t="s">
        <v>91</v>
      </c>
      <c r="G39" s="32" t="s">
        <v>54</v>
      </c>
      <c r="H39" s="32" t="s">
        <v>92</v>
      </c>
      <c r="I39" s="32" t="s">
        <v>93</v>
      </c>
      <c r="J39" s="61">
        <v>4.0</v>
      </c>
      <c r="K39" s="44">
        <v>3.475E7</v>
      </c>
      <c r="L39" s="35">
        <v>2931364.22</v>
      </c>
      <c r="M39" s="35">
        <v>5800000.0</v>
      </c>
      <c r="N39" s="36">
        <f t="shared" si="9"/>
        <v>31881364.22</v>
      </c>
      <c r="O39" s="37"/>
      <c r="P39" s="37"/>
      <c r="Q39" s="37"/>
      <c r="R39" s="36">
        <f t="shared" si="10"/>
        <v>31881364.22</v>
      </c>
      <c r="S39" s="44">
        <v>3.147436668E7</v>
      </c>
      <c r="T39" s="38">
        <f t="shared" si="11"/>
        <v>0.9872339986</v>
      </c>
      <c r="U39" s="62">
        <v>9945690.89</v>
      </c>
      <c r="V39" s="38">
        <f t="shared" si="12"/>
        <v>0.3119593886</v>
      </c>
      <c r="W39" s="35">
        <v>9945690.89</v>
      </c>
      <c r="X39" s="38">
        <f t="shared" si="13"/>
        <v>0.3119593886</v>
      </c>
      <c r="Y39" s="4"/>
      <c r="Z39" s="4"/>
      <c r="AA39" s="4"/>
    </row>
    <row r="40">
      <c r="A40" s="31" t="s">
        <v>88</v>
      </c>
      <c r="B40" s="32" t="s">
        <v>89</v>
      </c>
      <c r="C40" s="32" t="s">
        <v>50</v>
      </c>
      <c r="D40" s="32" t="s">
        <v>101</v>
      </c>
      <c r="E40" s="32" t="s">
        <v>52</v>
      </c>
      <c r="F40" s="32" t="s">
        <v>91</v>
      </c>
      <c r="G40" s="32" t="s">
        <v>54</v>
      </c>
      <c r="H40" s="32" t="s">
        <v>95</v>
      </c>
      <c r="I40" s="32" t="s">
        <v>93</v>
      </c>
      <c r="J40" s="61">
        <v>4.0</v>
      </c>
      <c r="K40" s="44">
        <v>0.0</v>
      </c>
      <c r="L40" s="35">
        <v>2445067.12</v>
      </c>
      <c r="M40" s="35">
        <v>0.0</v>
      </c>
      <c r="N40" s="36">
        <f t="shared" si="9"/>
        <v>2445067.12</v>
      </c>
      <c r="O40" s="37"/>
      <c r="P40" s="37"/>
      <c r="Q40" s="37"/>
      <c r="R40" s="36">
        <f t="shared" si="10"/>
        <v>2445067.12</v>
      </c>
      <c r="S40" s="44">
        <v>2333262.1</v>
      </c>
      <c r="T40" s="38">
        <f t="shared" si="11"/>
        <v>0.9542732307</v>
      </c>
      <c r="U40" s="62">
        <v>0.0</v>
      </c>
      <c r="V40" s="38">
        <f t="shared" si="12"/>
        <v>0</v>
      </c>
      <c r="W40" s="35">
        <v>0.0</v>
      </c>
      <c r="X40" s="38">
        <f t="shared" si="13"/>
        <v>0</v>
      </c>
      <c r="Y40" s="4"/>
      <c r="Z40" s="4"/>
      <c r="AA40" s="4"/>
    </row>
    <row r="41">
      <c r="A41" s="31" t="s">
        <v>88</v>
      </c>
      <c r="B41" s="32" t="s">
        <v>89</v>
      </c>
      <c r="C41" s="32" t="s">
        <v>50</v>
      </c>
      <c r="D41" s="32" t="s">
        <v>102</v>
      </c>
      <c r="E41" s="32" t="s">
        <v>52</v>
      </c>
      <c r="F41" s="32" t="s">
        <v>103</v>
      </c>
      <c r="G41" s="32" t="s">
        <v>54</v>
      </c>
      <c r="H41" s="32" t="s">
        <v>92</v>
      </c>
      <c r="I41" s="32" t="s">
        <v>93</v>
      </c>
      <c r="J41" s="61">
        <v>4.0</v>
      </c>
      <c r="K41" s="44">
        <v>1580250.0</v>
      </c>
      <c r="L41" s="35">
        <v>0.0</v>
      </c>
      <c r="M41" s="35">
        <v>0.0</v>
      </c>
      <c r="N41" s="36">
        <f t="shared" si="9"/>
        <v>1580250</v>
      </c>
      <c r="O41" s="37"/>
      <c r="P41" s="37"/>
      <c r="Q41" s="37"/>
      <c r="R41" s="36">
        <f t="shared" si="10"/>
        <v>1580250</v>
      </c>
      <c r="S41" s="44">
        <v>237250.0</v>
      </c>
      <c r="T41" s="38">
        <f t="shared" si="11"/>
        <v>0.1501344724</v>
      </c>
      <c r="U41" s="62">
        <v>9250.0</v>
      </c>
      <c r="V41" s="38">
        <f t="shared" si="12"/>
        <v>0.005853504192</v>
      </c>
      <c r="W41" s="35">
        <v>9250.0</v>
      </c>
      <c r="X41" s="38">
        <f t="shared" si="13"/>
        <v>0.005853504192</v>
      </c>
      <c r="Y41" s="4"/>
      <c r="Z41" s="4"/>
      <c r="AA41" s="4"/>
    </row>
    <row r="42">
      <c r="A42" s="31" t="s">
        <v>88</v>
      </c>
      <c r="B42" s="32" t="s">
        <v>89</v>
      </c>
      <c r="C42" s="32" t="s">
        <v>50</v>
      </c>
      <c r="D42" s="32" t="s">
        <v>51</v>
      </c>
      <c r="E42" s="32" t="s">
        <v>52</v>
      </c>
      <c r="F42" s="32" t="s">
        <v>104</v>
      </c>
      <c r="G42" s="32" t="s">
        <v>54</v>
      </c>
      <c r="H42" s="32" t="s">
        <v>92</v>
      </c>
      <c r="I42" s="32" t="s">
        <v>93</v>
      </c>
      <c r="J42" s="33">
        <v>3.0</v>
      </c>
      <c r="K42" s="63">
        <f>134024300-K43</f>
        <v>131262000</v>
      </c>
      <c r="L42" s="48">
        <f>5303118.92-L43</f>
        <v>5278318.92</v>
      </c>
      <c r="M42" s="35">
        <v>3185590.17</v>
      </c>
      <c r="N42" s="36">
        <f t="shared" si="9"/>
        <v>133354728.8</v>
      </c>
      <c r="O42" s="37"/>
      <c r="P42" s="37"/>
      <c r="Q42" s="37"/>
      <c r="R42" s="36">
        <f t="shared" si="10"/>
        <v>133354728.8</v>
      </c>
      <c r="S42" s="63">
        <f>115839986.99-S43</f>
        <v>113199639.8</v>
      </c>
      <c r="T42" s="38">
        <f t="shared" si="11"/>
        <v>0.8488610856</v>
      </c>
      <c r="U42" s="50">
        <f>37697940.76-U43</f>
        <v>36175803.61</v>
      </c>
      <c r="V42" s="38">
        <f t="shared" si="12"/>
        <v>0.2712749968</v>
      </c>
      <c r="W42" s="48">
        <f>37223882.11-W43</f>
        <v>35701744.96</v>
      </c>
      <c r="X42" s="38">
        <f t="shared" si="13"/>
        <v>0.2677201273</v>
      </c>
      <c r="Y42" s="4"/>
      <c r="Z42" s="4"/>
      <c r="AA42" s="4"/>
    </row>
    <row r="43">
      <c r="A43" s="31" t="s">
        <v>88</v>
      </c>
      <c r="B43" s="32" t="s">
        <v>89</v>
      </c>
      <c r="C43" s="32" t="s">
        <v>50</v>
      </c>
      <c r="D43" s="32" t="s">
        <v>51</v>
      </c>
      <c r="E43" s="32" t="s">
        <v>52</v>
      </c>
      <c r="F43" s="32" t="s">
        <v>104</v>
      </c>
      <c r="G43" s="32" t="s">
        <v>54</v>
      </c>
      <c r="H43" s="32" t="s">
        <v>92</v>
      </c>
      <c r="I43" s="32" t="s">
        <v>93</v>
      </c>
      <c r="J43" s="61">
        <v>4.0</v>
      </c>
      <c r="K43" s="63">
        <f>2762300</f>
        <v>2762300</v>
      </c>
      <c r="L43" s="48">
        <f>24800</f>
        <v>24800</v>
      </c>
      <c r="M43" s="35">
        <v>0.0</v>
      </c>
      <c r="N43" s="36">
        <f t="shared" si="9"/>
        <v>2787100</v>
      </c>
      <c r="O43" s="37"/>
      <c r="P43" s="37"/>
      <c r="Q43" s="37"/>
      <c r="R43" s="36">
        <f t="shared" si="10"/>
        <v>2787100</v>
      </c>
      <c r="S43" s="48">
        <f>3682+35002+22119.42+11262.95+137439+7490+1000+902595.14+93000+233616.4+15279.05+997771.79+180089.42</f>
        <v>2640347.17</v>
      </c>
      <c r="T43" s="38">
        <f t="shared" si="11"/>
        <v>0.9473456891</v>
      </c>
      <c r="U43" s="64">
        <f>35002+137439+93000+233616.4+7200+997179.75+18700</f>
        <v>1522137.15</v>
      </c>
      <c r="V43" s="38">
        <f t="shared" si="12"/>
        <v>0.5461365398</v>
      </c>
      <c r="W43" s="48">
        <f>35002+137439+93000+233616.4+7200+997179.75+18700</f>
        <v>1522137.15</v>
      </c>
      <c r="X43" s="38">
        <f t="shared" si="13"/>
        <v>0.5461365398</v>
      </c>
      <c r="Y43" s="4"/>
      <c r="Z43" s="4"/>
      <c r="AA43" s="4"/>
    </row>
    <row r="44" ht="43.5" customHeight="1">
      <c r="A44" s="31" t="s">
        <v>88</v>
      </c>
      <c r="B44" s="32" t="s">
        <v>89</v>
      </c>
      <c r="C44" s="32" t="s">
        <v>50</v>
      </c>
      <c r="D44" s="32" t="s">
        <v>51</v>
      </c>
      <c r="E44" s="32" t="s">
        <v>52</v>
      </c>
      <c r="F44" s="32" t="s">
        <v>104</v>
      </c>
      <c r="G44" s="32" t="s">
        <v>54</v>
      </c>
      <c r="H44" s="32" t="s">
        <v>95</v>
      </c>
      <c r="I44" s="32" t="s">
        <v>93</v>
      </c>
      <c r="J44" s="33">
        <v>3.0</v>
      </c>
      <c r="K44" s="44">
        <v>0.0</v>
      </c>
      <c r="L44" s="48">
        <f>18045126.71-L45</f>
        <v>16909991.15</v>
      </c>
      <c r="M44" s="35">
        <v>0.0</v>
      </c>
      <c r="N44" s="36">
        <f t="shared" si="9"/>
        <v>16909991.15</v>
      </c>
      <c r="O44" s="37"/>
      <c r="P44" s="37"/>
      <c r="Q44" s="37"/>
      <c r="R44" s="36">
        <f t="shared" si="10"/>
        <v>16909991.15</v>
      </c>
      <c r="S44" s="48">
        <f>9818154.05-S45</f>
        <v>8733618.49</v>
      </c>
      <c r="T44" s="38">
        <f t="shared" si="11"/>
        <v>0.516476822</v>
      </c>
      <c r="U44" s="39">
        <v>227173.54</v>
      </c>
      <c r="V44" s="38">
        <f t="shared" si="12"/>
        <v>0.01343427906</v>
      </c>
      <c r="W44" s="35">
        <v>227173.54</v>
      </c>
      <c r="X44" s="38">
        <f t="shared" si="13"/>
        <v>0.01343427906</v>
      </c>
      <c r="Y44" s="4"/>
      <c r="Z44" s="4"/>
      <c r="AA44" s="4"/>
    </row>
    <row r="45" ht="43.5" customHeight="1">
      <c r="A45" s="31" t="s">
        <v>88</v>
      </c>
      <c r="B45" s="32" t="s">
        <v>89</v>
      </c>
      <c r="C45" s="32" t="s">
        <v>50</v>
      </c>
      <c r="D45" s="32" t="s">
        <v>51</v>
      </c>
      <c r="E45" s="32" t="s">
        <v>52</v>
      </c>
      <c r="F45" s="32" t="s">
        <v>104</v>
      </c>
      <c r="G45" s="32" t="s">
        <v>54</v>
      </c>
      <c r="H45" s="32" t="s">
        <v>95</v>
      </c>
      <c r="I45" s="32" t="s">
        <v>93</v>
      </c>
      <c r="J45" s="61">
        <v>4.0</v>
      </c>
      <c r="K45" s="44">
        <v>0.0</v>
      </c>
      <c r="L45" s="48">
        <f>1135135.56</f>
        <v>1135135.56</v>
      </c>
      <c r="M45" s="35">
        <v>0.0</v>
      </c>
      <c r="N45" s="36">
        <f t="shared" si="9"/>
        <v>1135135.56</v>
      </c>
      <c r="O45" s="37"/>
      <c r="P45" s="37"/>
      <c r="Q45" s="37"/>
      <c r="R45" s="36">
        <f t="shared" si="10"/>
        <v>1135135.56</v>
      </c>
      <c r="S45" s="48">
        <f>121100+963435.56</f>
        <v>1084535.56</v>
      </c>
      <c r="T45" s="38">
        <f t="shared" si="11"/>
        <v>0.9554238262</v>
      </c>
      <c r="U45" s="62">
        <v>0.0</v>
      </c>
      <c r="V45" s="38">
        <f t="shared" si="12"/>
        <v>0</v>
      </c>
      <c r="W45" s="35">
        <v>0.0</v>
      </c>
      <c r="X45" s="38">
        <f t="shared" si="13"/>
        <v>0</v>
      </c>
      <c r="Y45" s="4"/>
      <c r="Z45" s="4"/>
      <c r="AA45" s="4"/>
    </row>
    <row r="46">
      <c r="A46" s="31" t="s">
        <v>88</v>
      </c>
      <c r="B46" s="32" t="s">
        <v>89</v>
      </c>
      <c r="C46" s="32" t="s">
        <v>50</v>
      </c>
      <c r="D46" s="32" t="s">
        <v>57</v>
      </c>
      <c r="E46" s="32" t="s">
        <v>52</v>
      </c>
      <c r="F46" s="32" t="s">
        <v>105</v>
      </c>
      <c r="G46" s="32" t="s">
        <v>54</v>
      </c>
      <c r="H46" s="32" t="s">
        <v>92</v>
      </c>
      <c r="I46" s="32" t="s">
        <v>93</v>
      </c>
      <c r="J46" s="33">
        <v>3.0</v>
      </c>
      <c r="K46" s="44">
        <v>100000.0</v>
      </c>
      <c r="L46" s="34">
        <v>0.0</v>
      </c>
      <c r="M46" s="34">
        <v>0.0</v>
      </c>
      <c r="N46" s="45">
        <f t="shared" si="9"/>
        <v>100000</v>
      </c>
      <c r="O46" s="65"/>
      <c r="P46" s="65"/>
      <c r="Q46" s="65"/>
      <c r="R46" s="45">
        <f t="shared" si="10"/>
        <v>100000</v>
      </c>
      <c r="S46" s="34">
        <v>0.0</v>
      </c>
      <c r="T46" s="46">
        <f t="shared" si="11"/>
        <v>0</v>
      </c>
      <c r="U46" s="39">
        <v>0.0</v>
      </c>
      <c r="V46" s="46">
        <f t="shared" si="12"/>
        <v>0</v>
      </c>
      <c r="W46" s="34">
        <v>0.0</v>
      </c>
      <c r="X46" s="46">
        <f t="shared" si="13"/>
        <v>0</v>
      </c>
      <c r="Y46" s="4"/>
      <c r="Z46" s="4"/>
      <c r="AA46" s="4"/>
    </row>
    <row r="47">
      <c r="A47" s="31" t="s">
        <v>88</v>
      </c>
      <c r="B47" s="32" t="s">
        <v>89</v>
      </c>
      <c r="C47" s="32" t="s">
        <v>50</v>
      </c>
      <c r="D47" s="32" t="s">
        <v>57</v>
      </c>
      <c r="E47" s="32" t="s">
        <v>52</v>
      </c>
      <c r="F47" s="32" t="s">
        <v>105</v>
      </c>
      <c r="G47" s="32" t="s">
        <v>54</v>
      </c>
      <c r="H47" s="32" t="s">
        <v>95</v>
      </c>
      <c r="I47" s="32" t="s">
        <v>93</v>
      </c>
      <c r="J47" s="33">
        <v>3.0</v>
      </c>
      <c r="K47" s="44">
        <v>0.0</v>
      </c>
      <c r="L47" s="34">
        <v>3.674733E7</v>
      </c>
      <c r="M47" s="34">
        <v>0.0</v>
      </c>
      <c r="N47" s="45">
        <f t="shared" si="9"/>
        <v>36747330</v>
      </c>
      <c r="O47" s="65"/>
      <c r="P47" s="65"/>
      <c r="Q47" s="65"/>
      <c r="R47" s="45">
        <f t="shared" si="10"/>
        <v>36747330</v>
      </c>
      <c r="S47" s="34">
        <v>2.81739502E7</v>
      </c>
      <c r="T47" s="46">
        <f t="shared" si="11"/>
        <v>0.7666938033</v>
      </c>
      <c r="U47" s="39">
        <v>8865315.08</v>
      </c>
      <c r="V47" s="46">
        <f t="shared" si="12"/>
        <v>0.241250591</v>
      </c>
      <c r="W47" s="34">
        <v>8865315.08</v>
      </c>
      <c r="X47" s="46">
        <f t="shared" si="13"/>
        <v>0.241250591</v>
      </c>
      <c r="Y47" s="4"/>
      <c r="Z47" s="4"/>
      <c r="AA47" s="4"/>
    </row>
    <row r="48">
      <c r="A48" s="31" t="s">
        <v>88</v>
      </c>
      <c r="B48" s="32" t="s">
        <v>89</v>
      </c>
      <c r="C48" s="32" t="s">
        <v>50</v>
      </c>
      <c r="D48" s="32" t="s">
        <v>106</v>
      </c>
      <c r="E48" s="32" t="s">
        <v>52</v>
      </c>
      <c r="F48" s="32" t="s">
        <v>107</v>
      </c>
      <c r="G48" s="32" t="s">
        <v>54</v>
      </c>
      <c r="H48" s="32" t="s">
        <v>92</v>
      </c>
      <c r="I48" s="32" t="s">
        <v>93</v>
      </c>
      <c r="J48" s="33">
        <v>3.0</v>
      </c>
      <c r="K48" s="44">
        <v>960000.0</v>
      </c>
      <c r="L48" s="34">
        <v>47927.14</v>
      </c>
      <c r="M48" s="34">
        <v>47927.14</v>
      </c>
      <c r="N48" s="45">
        <f t="shared" si="9"/>
        <v>960000</v>
      </c>
      <c r="O48" s="65"/>
      <c r="P48" s="65"/>
      <c r="Q48" s="65"/>
      <c r="R48" s="45">
        <f t="shared" si="10"/>
        <v>960000</v>
      </c>
      <c r="S48" s="34">
        <v>688979.5</v>
      </c>
      <c r="T48" s="46">
        <f t="shared" si="11"/>
        <v>0.7176869792</v>
      </c>
      <c r="U48" s="39">
        <v>688979.5</v>
      </c>
      <c r="V48" s="46">
        <f t="shared" si="12"/>
        <v>0.7176869792</v>
      </c>
      <c r="W48" s="34">
        <v>688739.5</v>
      </c>
      <c r="X48" s="46">
        <f t="shared" si="13"/>
        <v>0.7174369792</v>
      </c>
      <c r="Y48" s="4"/>
      <c r="Z48" s="4"/>
      <c r="AA48" s="4"/>
    </row>
    <row r="49">
      <c r="A49" s="31" t="s">
        <v>88</v>
      </c>
      <c r="B49" s="32" t="s">
        <v>89</v>
      </c>
      <c r="C49" s="32" t="s">
        <v>50</v>
      </c>
      <c r="D49" s="32" t="s">
        <v>64</v>
      </c>
      <c r="E49" s="32" t="s">
        <v>67</v>
      </c>
      <c r="F49" s="32" t="s">
        <v>65</v>
      </c>
      <c r="G49" s="32" t="s">
        <v>54</v>
      </c>
      <c r="H49" s="32" t="s">
        <v>92</v>
      </c>
      <c r="I49" s="32" t="s">
        <v>93</v>
      </c>
      <c r="J49" s="33">
        <v>3.0</v>
      </c>
      <c r="K49" s="44">
        <v>50000.0</v>
      </c>
      <c r="L49" s="34">
        <v>0.0</v>
      </c>
      <c r="M49" s="34">
        <v>0.0</v>
      </c>
      <c r="N49" s="45">
        <f t="shared" si="9"/>
        <v>50000</v>
      </c>
      <c r="O49" s="65"/>
      <c r="P49" s="65"/>
      <c r="Q49" s="65"/>
      <c r="R49" s="45">
        <f t="shared" si="10"/>
        <v>50000</v>
      </c>
      <c r="S49" s="44">
        <v>0.0</v>
      </c>
      <c r="T49" s="46">
        <f t="shared" si="11"/>
        <v>0</v>
      </c>
      <c r="U49" s="39">
        <v>0.0</v>
      </c>
      <c r="V49" s="46">
        <f t="shared" si="12"/>
        <v>0</v>
      </c>
      <c r="W49" s="34">
        <v>0.0</v>
      </c>
      <c r="X49" s="46">
        <f t="shared" si="13"/>
        <v>0</v>
      </c>
      <c r="Y49" s="4"/>
      <c r="Z49" s="4"/>
      <c r="AA49" s="4"/>
    </row>
    <row r="50">
      <c r="A50" s="31" t="s">
        <v>88</v>
      </c>
      <c r="B50" s="32" t="s">
        <v>89</v>
      </c>
      <c r="C50" s="32" t="s">
        <v>50</v>
      </c>
      <c r="D50" s="32" t="s">
        <v>64</v>
      </c>
      <c r="E50" s="32" t="s">
        <v>67</v>
      </c>
      <c r="F50" s="32" t="s">
        <v>65</v>
      </c>
      <c r="G50" s="32" t="s">
        <v>54</v>
      </c>
      <c r="H50" s="32" t="s">
        <v>95</v>
      </c>
      <c r="I50" s="32" t="s">
        <v>93</v>
      </c>
      <c r="J50" s="33">
        <v>3.0</v>
      </c>
      <c r="K50" s="44">
        <v>0.0</v>
      </c>
      <c r="L50" s="34">
        <v>8035079.0</v>
      </c>
      <c r="M50" s="34">
        <v>0.0</v>
      </c>
      <c r="N50" s="45">
        <f t="shared" si="9"/>
        <v>8035079</v>
      </c>
      <c r="O50" s="65"/>
      <c r="P50" s="65"/>
      <c r="Q50" s="65"/>
      <c r="R50" s="45">
        <f t="shared" si="10"/>
        <v>8035079</v>
      </c>
      <c r="S50" s="44">
        <v>7671388.48</v>
      </c>
      <c r="T50" s="46">
        <f t="shared" si="11"/>
        <v>0.9547371569</v>
      </c>
      <c r="U50" s="39">
        <v>2586782.29</v>
      </c>
      <c r="V50" s="46">
        <f t="shared" si="12"/>
        <v>0.3219361365</v>
      </c>
      <c r="W50" s="34">
        <v>2586782.29</v>
      </c>
      <c r="X50" s="46">
        <f t="shared" si="13"/>
        <v>0.3219361365</v>
      </c>
      <c r="Y50" s="4"/>
      <c r="Z50" s="4"/>
      <c r="AA50" s="4"/>
    </row>
    <row r="51">
      <c r="A51" s="31" t="s">
        <v>88</v>
      </c>
      <c r="B51" s="32" t="s">
        <v>89</v>
      </c>
      <c r="C51" s="32" t="s">
        <v>50</v>
      </c>
      <c r="D51" s="32" t="s">
        <v>108</v>
      </c>
      <c r="E51" s="32" t="s">
        <v>67</v>
      </c>
      <c r="F51" s="32" t="s">
        <v>109</v>
      </c>
      <c r="G51" s="32" t="s">
        <v>54</v>
      </c>
      <c r="H51" s="32" t="s">
        <v>92</v>
      </c>
      <c r="I51" s="32" t="s">
        <v>93</v>
      </c>
      <c r="J51" s="33">
        <v>3.0</v>
      </c>
      <c r="K51" s="44">
        <v>200000.0</v>
      </c>
      <c r="L51" s="34">
        <v>0.0</v>
      </c>
      <c r="M51" s="34">
        <v>0.0</v>
      </c>
      <c r="N51" s="45">
        <f t="shared" si="9"/>
        <v>200000</v>
      </c>
      <c r="O51" s="65"/>
      <c r="P51" s="65"/>
      <c r="Q51" s="65"/>
      <c r="R51" s="45">
        <f t="shared" si="10"/>
        <v>200000</v>
      </c>
      <c r="S51" s="44">
        <v>0.0</v>
      </c>
      <c r="T51" s="46">
        <f t="shared" si="11"/>
        <v>0</v>
      </c>
      <c r="U51" s="39">
        <v>0.0</v>
      </c>
      <c r="V51" s="46">
        <f t="shared" si="12"/>
        <v>0</v>
      </c>
      <c r="W51" s="34">
        <v>0.0</v>
      </c>
      <c r="X51" s="46">
        <f t="shared" si="13"/>
        <v>0</v>
      </c>
      <c r="Y51" s="4"/>
      <c r="Z51" s="4"/>
      <c r="AA51" s="4"/>
    </row>
    <row r="52">
      <c r="A52" s="31" t="s">
        <v>88</v>
      </c>
      <c r="B52" s="32" t="s">
        <v>89</v>
      </c>
      <c r="C52" s="32" t="s">
        <v>50</v>
      </c>
      <c r="D52" s="32" t="s">
        <v>110</v>
      </c>
      <c r="E52" s="32" t="s">
        <v>67</v>
      </c>
      <c r="F52" s="32" t="s">
        <v>109</v>
      </c>
      <c r="G52" s="32" t="s">
        <v>54</v>
      </c>
      <c r="H52" s="32" t="s">
        <v>95</v>
      </c>
      <c r="I52" s="32" t="s">
        <v>93</v>
      </c>
      <c r="J52" s="61">
        <v>4.0</v>
      </c>
      <c r="K52" s="44">
        <v>0.0</v>
      </c>
      <c r="L52" s="34">
        <v>2843907.01</v>
      </c>
      <c r="M52" s="34">
        <v>0.0</v>
      </c>
      <c r="N52" s="45">
        <f t="shared" si="9"/>
        <v>2843907.01</v>
      </c>
      <c r="O52" s="65"/>
      <c r="P52" s="65"/>
      <c r="Q52" s="65"/>
      <c r="R52" s="45">
        <f t="shared" si="10"/>
        <v>2843907.01</v>
      </c>
      <c r="S52" s="44">
        <v>0.0</v>
      </c>
      <c r="T52" s="46">
        <f t="shared" si="11"/>
        <v>0</v>
      </c>
      <c r="U52" s="62">
        <v>0.0</v>
      </c>
      <c r="V52" s="46">
        <f t="shared" si="12"/>
        <v>0</v>
      </c>
      <c r="W52" s="34">
        <v>0.0</v>
      </c>
      <c r="X52" s="46">
        <f t="shared" si="13"/>
        <v>0</v>
      </c>
      <c r="Y52" s="4"/>
      <c r="Z52" s="4"/>
      <c r="AA52" s="4"/>
    </row>
    <row r="53">
      <c r="A53" s="31" t="s">
        <v>88</v>
      </c>
      <c r="B53" s="32" t="s">
        <v>89</v>
      </c>
      <c r="C53" s="32" t="s">
        <v>50</v>
      </c>
      <c r="D53" s="32" t="s">
        <v>111</v>
      </c>
      <c r="E53" s="32" t="s">
        <v>67</v>
      </c>
      <c r="F53" s="32" t="s">
        <v>112</v>
      </c>
      <c r="G53" s="32" t="s">
        <v>54</v>
      </c>
      <c r="H53" s="32" t="s">
        <v>92</v>
      </c>
      <c r="I53" s="32" t="s">
        <v>93</v>
      </c>
      <c r="J53" s="61">
        <v>4.0</v>
      </c>
      <c r="K53" s="44">
        <v>417750.0</v>
      </c>
      <c r="L53" s="34">
        <v>0.0</v>
      </c>
      <c r="M53" s="34">
        <v>0.0</v>
      </c>
      <c r="N53" s="45">
        <f t="shared" si="9"/>
        <v>417750</v>
      </c>
      <c r="O53" s="65"/>
      <c r="P53" s="65"/>
      <c r="Q53" s="65"/>
      <c r="R53" s="45">
        <f t="shared" si="10"/>
        <v>417750</v>
      </c>
      <c r="S53" s="44">
        <v>0.0</v>
      </c>
      <c r="T53" s="46">
        <f t="shared" si="11"/>
        <v>0</v>
      </c>
      <c r="U53" s="62">
        <v>0.0</v>
      </c>
      <c r="V53" s="46">
        <f t="shared" si="12"/>
        <v>0</v>
      </c>
      <c r="W53" s="34">
        <v>0.0</v>
      </c>
      <c r="X53" s="46">
        <f t="shared" si="13"/>
        <v>0</v>
      </c>
      <c r="Y53" s="4"/>
      <c r="Z53" s="4"/>
      <c r="AA53" s="4"/>
    </row>
    <row r="54">
      <c r="A54" s="31" t="s">
        <v>88</v>
      </c>
      <c r="B54" s="32" t="s">
        <v>89</v>
      </c>
      <c r="C54" s="32" t="s">
        <v>50</v>
      </c>
      <c r="D54" s="32" t="s">
        <v>66</v>
      </c>
      <c r="E54" s="32" t="s">
        <v>67</v>
      </c>
      <c r="F54" s="32" t="s">
        <v>113</v>
      </c>
      <c r="G54" s="32" t="s">
        <v>54</v>
      </c>
      <c r="H54" s="32" t="s">
        <v>92</v>
      </c>
      <c r="I54" s="32" t="s">
        <v>93</v>
      </c>
      <c r="J54" s="33">
        <v>3.0</v>
      </c>
      <c r="K54" s="44">
        <v>50000.0</v>
      </c>
      <c r="L54" s="34">
        <v>0.0</v>
      </c>
      <c r="M54" s="34">
        <v>4600.0</v>
      </c>
      <c r="N54" s="45">
        <f t="shared" si="9"/>
        <v>45400</v>
      </c>
      <c r="O54" s="65"/>
      <c r="P54" s="65"/>
      <c r="Q54" s="65"/>
      <c r="R54" s="45">
        <f t="shared" si="10"/>
        <v>45400</v>
      </c>
      <c r="S54" s="44">
        <v>0.0</v>
      </c>
      <c r="T54" s="46">
        <f t="shared" si="11"/>
        <v>0</v>
      </c>
      <c r="U54" s="39">
        <v>0.0</v>
      </c>
      <c r="V54" s="46">
        <f t="shared" si="12"/>
        <v>0</v>
      </c>
      <c r="W54" s="34">
        <v>0.0</v>
      </c>
      <c r="X54" s="46">
        <f t="shared" si="13"/>
        <v>0</v>
      </c>
      <c r="Y54" s="4"/>
      <c r="Z54" s="4"/>
      <c r="AA54" s="4"/>
    </row>
    <row r="55">
      <c r="A55" s="31" t="s">
        <v>88</v>
      </c>
      <c r="B55" s="32" t="s">
        <v>89</v>
      </c>
      <c r="C55" s="32" t="s">
        <v>50</v>
      </c>
      <c r="D55" s="32" t="s">
        <v>66</v>
      </c>
      <c r="E55" s="32" t="s">
        <v>67</v>
      </c>
      <c r="F55" s="32" t="s">
        <v>113</v>
      </c>
      <c r="G55" s="32" t="s">
        <v>114</v>
      </c>
      <c r="H55" s="32" t="s">
        <v>95</v>
      </c>
      <c r="I55" s="32" t="s">
        <v>93</v>
      </c>
      <c r="J55" s="33">
        <v>3.0</v>
      </c>
      <c r="K55" s="44">
        <v>0.0</v>
      </c>
      <c r="L55" s="34">
        <v>7944047.0</v>
      </c>
      <c r="M55" s="34">
        <v>0.0</v>
      </c>
      <c r="N55" s="45">
        <f t="shared" si="9"/>
        <v>7944047</v>
      </c>
      <c r="O55" s="65"/>
      <c r="P55" s="65"/>
      <c r="Q55" s="65"/>
      <c r="R55" s="45">
        <f t="shared" si="10"/>
        <v>7944047</v>
      </c>
      <c r="S55" s="44">
        <v>7476494.97</v>
      </c>
      <c r="T55" s="46">
        <f t="shared" si="11"/>
        <v>0.9411443525</v>
      </c>
      <c r="U55" s="39">
        <v>2506752.42</v>
      </c>
      <c r="V55" s="46">
        <f t="shared" si="12"/>
        <v>0.315551056</v>
      </c>
      <c r="W55" s="34">
        <v>2506752.42</v>
      </c>
      <c r="X55" s="46">
        <f t="shared" si="13"/>
        <v>0.315551056</v>
      </c>
      <c r="Y55" s="4"/>
      <c r="Z55" s="4"/>
      <c r="AA55" s="4"/>
    </row>
    <row r="56">
      <c r="A56" s="31" t="s">
        <v>88</v>
      </c>
      <c r="B56" s="32" t="s">
        <v>89</v>
      </c>
      <c r="C56" s="32" t="s">
        <v>50</v>
      </c>
      <c r="D56" s="32" t="s">
        <v>69</v>
      </c>
      <c r="E56" s="32" t="s">
        <v>67</v>
      </c>
      <c r="F56" s="32" t="s">
        <v>70</v>
      </c>
      <c r="G56" s="32" t="s">
        <v>54</v>
      </c>
      <c r="H56" s="32" t="s">
        <v>92</v>
      </c>
      <c r="I56" s="32" t="s">
        <v>93</v>
      </c>
      <c r="J56" s="33">
        <v>3.0</v>
      </c>
      <c r="K56" s="63">
        <f>10279396-K57</f>
        <v>10039196</v>
      </c>
      <c r="L56" s="35">
        <v>583346.48</v>
      </c>
      <c r="M56" s="35">
        <v>583346.48</v>
      </c>
      <c r="N56" s="36">
        <f t="shared" si="9"/>
        <v>10039196</v>
      </c>
      <c r="O56" s="37"/>
      <c r="P56" s="37"/>
      <c r="Q56" s="37"/>
      <c r="R56" s="36">
        <f t="shared" si="10"/>
        <v>10039196</v>
      </c>
      <c r="S56" s="48">
        <f>8561067.8-S57</f>
        <v>8500037.82</v>
      </c>
      <c r="T56" s="38">
        <f t="shared" si="11"/>
        <v>0.846685115</v>
      </c>
      <c r="U56" s="50">
        <f>4471839.41-U57</f>
        <v>4449569.43</v>
      </c>
      <c r="V56" s="38">
        <f t="shared" si="12"/>
        <v>0.4432196991</v>
      </c>
      <c r="W56" s="48">
        <f>4403197.73-W57</f>
        <v>4380927.75</v>
      </c>
      <c r="X56" s="38">
        <f t="shared" si="13"/>
        <v>0.4363823308</v>
      </c>
      <c r="Y56" s="4"/>
      <c r="Z56" s="4"/>
      <c r="AA56" s="4"/>
    </row>
    <row r="57">
      <c r="A57" s="31" t="s">
        <v>88</v>
      </c>
      <c r="B57" s="32" t="s">
        <v>89</v>
      </c>
      <c r="C57" s="32" t="s">
        <v>50</v>
      </c>
      <c r="D57" s="32" t="s">
        <v>69</v>
      </c>
      <c r="E57" s="32" t="s">
        <v>67</v>
      </c>
      <c r="F57" s="32" t="s">
        <v>70</v>
      </c>
      <c r="G57" s="32" t="s">
        <v>54</v>
      </c>
      <c r="H57" s="32" t="s">
        <v>92</v>
      </c>
      <c r="I57" s="32" t="s">
        <v>93</v>
      </c>
      <c r="J57" s="61">
        <v>4.0</v>
      </c>
      <c r="K57" s="44">
        <v>240200.0</v>
      </c>
      <c r="L57" s="35">
        <v>0.0</v>
      </c>
      <c r="M57" s="35">
        <v>0.0</v>
      </c>
      <c r="N57" s="36">
        <f t="shared" si="9"/>
        <v>240200</v>
      </c>
      <c r="O57" s="37"/>
      <c r="P57" s="37"/>
      <c r="Q57" s="37"/>
      <c r="R57" s="36">
        <f t="shared" si="10"/>
        <v>240200</v>
      </c>
      <c r="S57" s="48">
        <f>1240+59789.98</f>
        <v>61029.98</v>
      </c>
      <c r="T57" s="38">
        <f t="shared" si="11"/>
        <v>0.2540798501</v>
      </c>
      <c r="U57" s="64">
        <f>1240+21029.98</f>
        <v>22269.98</v>
      </c>
      <c r="V57" s="38">
        <f t="shared" si="12"/>
        <v>0.0927143214</v>
      </c>
      <c r="W57" s="48">
        <f>1240+21029.98</f>
        <v>22269.98</v>
      </c>
      <c r="X57" s="38">
        <f t="shared" si="13"/>
        <v>0.0927143214</v>
      </c>
      <c r="Y57" s="4"/>
      <c r="Z57" s="4"/>
      <c r="AA57" s="4"/>
    </row>
    <row r="58" ht="34.5" customHeight="1">
      <c r="A58" s="31" t="s">
        <v>88</v>
      </c>
      <c r="B58" s="32" t="s">
        <v>89</v>
      </c>
      <c r="C58" s="32" t="s">
        <v>50</v>
      </c>
      <c r="D58" s="32" t="s">
        <v>69</v>
      </c>
      <c r="E58" s="32" t="s">
        <v>67</v>
      </c>
      <c r="F58" s="32" t="s">
        <v>70</v>
      </c>
      <c r="G58" s="32" t="s">
        <v>54</v>
      </c>
      <c r="H58" s="32" t="s">
        <v>95</v>
      </c>
      <c r="I58" s="32" t="s">
        <v>93</v>
      </c>
      <c r="J58" s="33">
        <v>3.0</v>
      </c>
      <c r="K58" s="44">
        <v>0.0</v>
      </c>
      <c r="L58" s="35">
        <v>3838532.17</v>
      </c>
      <c r="M58" s="35">
        <v>2623.23</v>
      </c>
      <c r="N58" s="36">
        <f t="shared" si="9"/>
        <v>3835908.94</v>
      </c>
      <c r="O58" s="37"/>
      <c r="P58" s="37"/>
      <c r="Q58" s="37"/>
      <c r="R58" s="36">
        <f t="shared" si="10"/>
        <v>3835908.94</v>
      </c>
      <c r="S58" s="35">
        <v>1599544.03</v>
      </c>
      <c r="T58" s="38">
        <f t="shared" si="11"/>
        <v>0.4169921797</v>
      </c>
      <c r="U58" s="39">
        <v>1599544.03</v>
      </c>
      <c r="V58" s="38">
        <f t="shared" si="12"/>
        <v>0.4169921797</v>
      </c>
      <c r="W58" s="35">
        <v>1599544.03</v>
      </c>
      <c r="X58" s="38">
        <f t="shared" si="13"/>
        <v>0.4169921797</v>
      </c>
      <c r="Y58" s="4"/>
      <c r="Z58" s="4"/>
      <c r="AA58" s="4"/>
    </row>
    <row r="59">
      <c r="A59" s="31" t="s">
        <v>88</v>
      </c>
      <c r="B59" s="32" t="s">
        <v>89</v>
      </c>
      <c r="C59" s="32" t="s">
        <v>115</v>
      </c>
      <c r="D59" s="32" t="s">
        <v>116</v>
      </c>
      <c r="E59" s="32" t="s">
        <v>52</v>
      </c>
      <c r="F59" s="32" t="s">
        <v>117</v>
      </c>
      <c r="G59" s="32" t="s">
        <v>54</v>
      </c>
      <c r="H59" s="32" t="s">
        <v>92</v>
      </c>
      <c r="I59" s="32" t="s">
        <v>93</v>
      </c>
      <c r="J59" s="33">
        <v>3.0</v>
      </c>
      <c r="K59" s="63">
        <f>73913500-K60</f>
        <v>50900000</v>
      </c>
      <c r="L59" s="47">
        <f>1140470.41</f>
        <v>1140470.41</v>
      </c>
      <c r="M59" s="34">
        <v>3257999.16</v>
      </c>
      <c r="N59" s="45">
        <f t="shared" si="9"/>
        <v>48782471.25</v>
      </c>
      <c r="O59" s="65"/>
      <c r="P59" s="65"/>
      <c r="Q59" s="65"/>
      <c r="R59" s="45">
        <f t="shared" si="10"/>
        <v>48782471.25</v>
      </c>
      <c r="S59" s="47">
        <f>40240153.76-S60</f>
        <v>30606588.45</v>
      </c>
      <c r="T59" s="46">
        <f t="shared" si="11"/>
        <v>0.6274095524</v>
      </c>
      <c r="U59" s="50">
        <f>10886976.2-U60</f>
        <v>10486800.05</v>
      </c>
      <c r="V59" s="46">
        <f t="shared" si="12"/>
        <v>0.2149706602</v>
      </c>
      <c r="W59" s="47">
        <f>10883458.55-W60</f>
        <v>10483282.4</v>
      </c>
      <c r="X59" s="46">
        <f t="shared" si="13"/>
        <v>0.2148985513</v>
      </c>
      <c r="Y59" s="4"/>
      <c r="Z59" s="4"/>
      <c r="AA59" s="4"/>
    </row>
    <row r="60">
      <c r="A60" s="31" t="s">
        <v>88</v>
      </c>
      <c r="B60" s="51" t="s">
        <v>89</v>
      </c>
      <c r="C60" s="51" t="s">
        <v>115</v>
      </c>
      <c r="D60" s="51" t="s">
        <v>116</v>
      </c>
      <c r="E60" s="32" t="s">
        <v>52</v>
      </c>
      <c r="F60" s="32" t="s">
        <v>117</v>
      </c>
      <c r="G60" s="51" t="s">
        <v>54</v>
      </c>
      <c r="H60" s="51" t="s">
        <v>92</v>
      </c>
      <c r="I60" s="32" t="s">
        <v>93</v>
      </c>
      <c r="J60" s="61">
        <v>4.0</v>
      </c>
      <c r="K60" s="63">
        <f>5671500+17342000</f>
        <v>23013500</v>
      </c>
      <c r="L60" s="35">
        <v>0.0</v>
      </c>
      <c r="M60" s="34">
        <v>0.0</v>
      </c>
      <c r="N60" s="36">
        <f t="shared" si="9"/>
        <v>23013500</v>
      </c>
      <c r="O60" s="37"/>
      <c r="P60" s="37"/>
      <c r="Q60" s="37"/>
      <c r="R60" s="36">
        <f t="shared" si="10"/>
        <v>23013500</v>
      </c>
      <c r="S60" s="47">
        <f>99980+2517250+2667250.02+34433.29+4314652</f>
        <v>9633565.31</v>
      </c>
      <c r="T60" s="38">
        <f t="shared" si="11"/>
        <v>0.4186049627</v>
      </c>
      <c r="U60" s="64">
        <f>24980+41609.1+299153.76+34433.29</f>
        <v>400176.15</v>
      </c>
      <c r="V60" s="38">
        <f t="shared" si="12"/>
        <v>0.0173887566</v>
      </c>
      <c r="W60" s="48">
        <f>24980+41609.1+299153.76+34433.29</f>
        <v>400176.15</v>
      </c>
      <c r="X60" s="38">
        <f t="shared" si="13"/>
        <v>0.0173887566</v>
      </c>
      <c r="Y60" s="4"/>
      <c r="Z60" s="4"/>
      <c r="AA60" s="4"/>
    </row>
    <row r="61">
      <c r="A61" s="31" t="s">
        <v>88</v>
      </c>
      <c r="B61" s="51" t="s">
        <v>89</v>
      </c>
      <c r="C61" s="51" t="s">
        <v>115</v>
      </c>
      <c r="D61" s="51" t="s">
        <v>116</v>
      </c>
      <c r="E61" s="32" t="s">
        <v>52</v>
      </c>
      <c r="F61" s="32" t="s">
        <v>118</v>
      </c>
      <c r="G61" s="51" t="s">
        <v>54</v>
      </c>
      <c r="H61" s="51" t="s">
        <v>95</v>
      </c>
      <c r="I61" s="32" t="s">
        <v>93</v>
      </c>
      <c r="J61" s="33">
        <v>3.0</v>
      </c>
      <c r="K61" s="44">
        <v>0.0</v>
      </c>
      <c r="L61" s="48">
        <f>37499066.63-L62</f>
        <v>19816054.41</v>
      </c>
      <c r="M61" s="34">
        <v>0.0</v>
      </c>
      <c r="N61" s="36">
        <f t="shared" si="9"/>
        <v>19816054.41</v>
      </c>
      <c r="O61" s="37"/>
      <c r="P61" s="37"/>
      <c r="Q61" s="37"/>
      <c r="R61" s="36">
        <f t="shared" si="10"/>
        <v>19816054.41</v>
      </c>
      <c r="S61" s="47">
        <f>37038180.95-S62</f>
        <v>19816084.41</v>
      </c>
      <c r="T61" s="38">
        <f t="shared" si="11"/>
        <v>1.000001514</v>
      </c>
      <c r="U61" s="39">
        <v>1.634594041E7</v>
      </c>
      <c r="V61" s="38">
        <f t="shared" si="12"/>
        <v>0.8248837065</v>
      </c>
      <c r="W61" s="35">
        <v>1.634594041E7</v>
      </c>
      <c r="X61" s="38">
        <f t="shared" si="13"/>
        <v>0.8248837065</v>
      </c>
      <c r="Y61" s="4"/>
      <c r="Z61" s="4"/>
      <c r="AA61" s="4"/>
    </row>
    <row r="62">
      <c r="A62" s="31" t="s">
        <v>88</v>
      </c>
      <c r="B62" s="51" t="s">
        <v>89</v>
      </c>
      <c r="C62" s="51" t="s">
        <v>115</v>
      </c>
      <c r="D62" s="51" t="s">
        <v>116</v>
      </c>
      <c r="E62" s="32" t="s">
        <v>52</v>
      </c>
      <c r="F62" s="32" t="s">
        <v>118</v>
      </c>
      <c r="G62" s="51" t="s">
        <v>54</v>
      </c>
      <c r="H62" s="51" t="s">
        <v>95</v>
      </c>
      <c r="I62" s="32" t="s">
        <v>93</v>
      </c>
      <c r="J62" s="61">
        <v>4.0</v>
      </c>
      <c r="K62" s="44">
        <v>0.0</v>
      </c>
      <c r="L62" s="48">
        <f>12385535.22+5297477</f>
        <v>17683012.22</v>
      </c>
      <c r="M62" s="34">
        <v>0.0</v>
      </c>
      <c r="N62" s="36">
        <f t="shared" si="9"/>
        <v>17683012.22</v>
      </c>
      <c r="O62" s="37"/>
      <c r="P62" s="37"/>
      <c r="Q62" s="37"/>
      <c r="R62" s="36">
        <f t="shared" si="10"/>
        <v>17683012.22</v>
      </c>
      <c r="S62" s="47">
        <f>11924649.54+5297447</f>
        <v>17222096.54</v>
      </c>
      <c r="T62" s="38">
        <f t="shared" si="11"/>
        <v>0.9739345495</v>
      </c>
      <c r="U62" s="62">
        <v>0.0</v>
      </c>
      <c r="V62" s="38">
        <f t="shared" si="12"/>
        <v>0</v>
      </c>
      <c r="W62" s="35">
        <v>0.0</v>
      </c>
      <c r="X62" s="38">
        <f t="shared" si="13"/>
        <v>0</v>
      </c>
      <c r="Y62" s="4"/>
      <c r="Z62" s="4"/>
      <c r="AA62" s="4"/>
    </row>
    <row r="63">
      <c r="A63" s="31" t="s">
        <v>88</v>
      </c>
      <c r="B63" s="51" t="s">
        <v>89</v>
      </c>
      <c r="C63" s="51" t="s">
        <v>73</v>
      </c>
      <c r="D63" s="51" t="s">
        <v>74</v>
      </c>
      <c r="E63" s="32" t="s">
        <v>52</v>
      </c>
      <c r="F63" s="32" t="s">
        <v>119</v>
      </c>
      <c r="G63" s="51" t="s">
        <v>54</v>
      </c>
      <c r="H63" s="51" t="s">
        <v>92</v>
      </c>
      <c r="I63" s="32" t="s">
        <v>93</v>
      </c>
      <c r="J63" s="33">
        <v>3.0</v>
      </c>
      <c r="K63" s="44">
        <v>4460804.0</v>
      </c>
      <c r="L63" s="35">
        <v>5585.0</v>
      </c>
      <c r="M63" s="34">
        <v>5585.0</v>
      </c>
      <c r="N63" s="36">
        <f t="shared" si="9"/>
        <v>4460804</v>
      </c>
      <c r="O63" s="37"/>
      <c r="P63" s="37"/>
      <c r="Q63" s="37"/>
      <c r="R63" s="36">
        <f t="shared" si="10"/>
        <v>4460804</v>
      </c>
      <c r="S63" s="34">
        <v>797351.17</v>
      </c>
      <c r="T63" s="38">
        <f t="shared" si="11"/>
        <v>0.1787460669</v>
      </c>
      <c r="U63" s="39">
        <v>261229.95</v>
      </c>
      <c r="V63" s="38">
        <f t="shared" si="12"/>
        <v>0.0585611809</v>
      </c>
      <c r="W63" s="35">
        <v>260487.45</v>
      </c>
      <c r="X63" s="38">
        <f t="shared" si="13"/>
        <v>0.05839473108</v>
      </c>
      <c r="Y63" s="4"/>
      <c r="Z63" s="4"/>
      <c r="AA63" s="4"/>
    </row>
    <row r="64">
      <c r="A64" s="31" t="s">
        <v>88</v>
      </c>
      <c r="B64" s="51" t="s">
        <v>89</v>
      </c>
      <c r="C64" s="51" t="s">
        <v>73</v>
      </c>
      <c r="D64" s="51" t="s">
        <v>76</v>
      </c>
      <c r="E64" s="32" t="s">
        <v>52</v>
      </c>
      <c r="F64" s="32" t="s">
        <v>77</v>
      </c>
      <c r="G64" s="51" t="s">
        <v>54</v>
      </c>
      <c r="H64" s="51" t="s">
        <v>92</v>
      </c>
      <c r="I64" s="32" t="s">
        <v>93</v>
      </c>
      <c r="J64" s="33">
        <v>3.0</v>
      </c>
      <c r="K64" s="44">
        <v>3500000.0</v>
      </c>
      <c r="L64" s="35">
        <v>4600.0</v>
      </c>
      <c r="M64" s="34">
        <v>0.0</v>
      </c>
      <c r="N64" s="36">
        <f t="shared" si="9"/>
        <v>3504600</v>
      </c>
      <c r="O64" s="37"/>
      <c r="P64" s="37"/>
      <c r="Q64" s="37"/>
      <c r="R64" s="36">
        <f t="shared" si="10"/>
        <v>3504600</v>
      </c>
      <c r="S64" s="34">
        <v>4600.0</v>
      </c>
      <c r="T64" s="38">
        <f t="shared" si="11"/>
        <v>0.001312560635</v>
      </c>
      <c r="U64" s="39">
        <v>4600.0</v>
      </c>
      <c r="V64" s="38">
        <f t="shared" si="12"/>
        <v>0.001312560635</v>
      </c>
      <c r="W64" s="35">
        <v>4600.0</v>
      </c>
      <c r="X64" s="38">
        <f t="shared" si="13"/>
        <v>0.001312560635</v>
      </c>
      <c r="Y64" s="4"/>
      <c r="Z64" s="4"/>
      <c r="AA64" s="4"/>
    </row>
    <row r="65">
      <c r="A65" s="31" t="s">
        <v>88</v>
      </c>
      <c r="B65" s="51" t="s">
        <v>89</v>
      </c>
      <c r="C65" s="51" t="s">
        <v>73</v>
      </c>
      <c r="D65" s="51" t="s">
        <v>76</v>
      </c>
      <c r="E65" s="32" t="s">
        <v>67</v>
      </c>
      <c r="F65" s="51" t="s">
        <v>77</v>
      </c>
      <c r="G65" s="51" t="s">
        <v>54</v>
      </c>
      <c r="H65" s="51" t="s">
        <v>120</v>
      </c>
      <c r="I65" s="66" t="s">
        <v>121</v>
      </c>
      <c r="J65" s="33">
        <v>3.0</v>
      </c>
      <c r="K65" s="44">
        <v>950000.0</v>
      </c>
      <c r="L65" s="35">
        <v>158545.0</v>
      </c>
      <c r="M65" s="35">
        <v>158545.0</v>
      </c>
      <c r="N65" s="36">
        <f t="shared" si="9"/>
        <v>950000</v>
      </c>
      <c r="O65" s="37"/>
      <c r="P65" s="37"/>
      <c r="Q65" s="37"/>
      <c r="R65" s="36">
        <f t="shared" si="10"/>
        <v>950000</v>
      </c>
      <c r="S65" s="47">
        <f>746241</f>
        <v>746241</v>
      </c>
      <c r="T65" s="38">
        <f t="shared" si="11"/>
        <v>0.7855168421</v>
      </c>
      <c r="U65" s="39">
        <v>462074.0</v>
      </c>
      <c r="V65" s="38">
        <v>0.0</v>
      </c>
      <c r="W65" s="35">
        <v>455454.2</v>
      </c>
      <c r="X65" s="38">
        <f t="shared" si="13"/>
        <v>0.4794254737</v>
      </c>
      <c r="Y65" s="4"/>
      <c r="Z65" s="4"/>
      <c r="AA65" s="4"/>
    </row>
    <row r="66">
      <c r="A66" s="31" t="s">
        <v>88</v>
      </c>
      <c r="B66" s="51" t="s">
        <v>89</v>
      </c>
      <c r="C66" s="67" t="s">
        <v>73</v>
      </c>
      <c r="D66" s="67" t="s">
        <v>76</v>
      </c>
      <c r="E66" s="32" t="s">
        <v>67</v>
      </c>
      <c r="F66" s="51" t="s">
        <v>77</v>
      </c>
      <c r="G66" s="67" t="s">
        <v>54</v>
      </c>
      <c r="H66" s="67" t="s">
        <v>122</v>
      </c>
      <c r="I66" s="66" t="s">
        <v>121</v>
      </c>
      <c r="J66" s="68">
        <v>3.0</v>
      </c>
      <c r="K66" s="44">
        <v>0.0</v>
      </c>
      <c r="L66" s="35">
        <v>1722000.0</v>
      </c>
      <c r="M66" s="35">
        <v>0.0</v>
      </c>
      <c r="N66" s="36">
        <f t="shared" si="9"/>
        <v>1722000</v>
      </c>
      <c r="O66" s="37"/>
      <c r="P66" s="37"/>
      <c r="Q66" s="37"/>
      <c r="R66" s="36">
        <f t="shared" si="10"/>
        <v>1722000</v>
      </c>
      <c r="S66" s="34">
        <v>0.0</v>
      </c>
      <c r="T66" s="38">
        <f t="shared" si="11"/>
        <v>0</v>
      </c>
      <c r="U66" s="39">
        <v>0.0</v>
      </c>
      <c r="V66" s="38">
        <v>0.0</v>
      </c>
      <c r="W66" s="35">
        <v>0.0</v>
      </c>
      <c r="X66" s="38">
        <f t="shared" si="13"/>
        <v>0</v>
      </c>
      <c r="Y66" s="4"/>
      <c r="Z66" s="4"/>
      <c r="AA66" s="4"/>
    </row>
    <row r="67" ht="15.75" customHeight="1">
      <c r="A67" s="69" t="s">
        <v>123</v>
      </c>
      <c r="B67" s="2"/>
      <c r="C67" s="2"/>
      <c r="D67" s="2"/>
      <c r="E67" s="2"/>
      <c r="F67" s="2"/>
      <c r="G67" s="2"/>
      <c r="H67" s="2"/>
      <c r="I67" s="2"/>
      <c r="J67" s="3"/>
      <c r="K67" s="53">
        <f t="shared" ref="K67:N67" si="14">SUM(K31:K66)</f>
        <v>317386000</v>
      </c>
      <c r="L67" s="53">
        <f t="shared" si="14"/>
        <v>145691660.9</v>
      </c>
      <c r="M67" s="53">
        <f t="shared" si="14"/>
        <v>16481586.21</v>
      </c>
      <c r="N67" s="53">
        <f t="shared" si="14"/>
        <v>446596074.7</v>
      </c>
      <c r="O67" s="53">
        <f t="shared" ref="O67:R67" si="15">SUM(O31:O65)</f>
        <v>0</v>
      </c>
      <c r="P67" s="53">
        <f t="shared" si="15"/>
        <v>0</v>
      </c>
      <c r="Q67" s="53">
        <f t="shared" si="15"/>
        <v>0</v>
      </c>
      <c r="R67" s="53">
        <f t="shared" si="15"/>
        <v>444874074.7</v>
      </c>
      <c r="S67" s="53">
        <f>SUM(S31:S66)</f>
        <v>346137905.3</v>
      </c>
      <c r="T67" s="54">
        <f t="shared" si="11"/>
        <v>0.778058163</v>
      </c>
      <c r="U67" s="53">
        <f>SUM(U31:U66)</f>
        <v>104196683.6</v>
      </c>
      <c r="V67" s="54">
        <f t="shared" ref="V67:V68" si="17">IF(R67&gt;0,U67/R67,0)</f>
        <v>0.2342161289</v>
      </c>
      <c r="W67" s="53">
        <f>SUM(W31:W66)</f>
        <v>103642863.3</v>
      </c>
      <c r="X67" s="54">
        <f t="shared" si="13"/>
        <v>0.2329712366</v>
      </c>
      <c r="Y67" s="4"/>
      <c r="Z67" s="4"/>
      <c r="AA67" s="4"/>
    </row>
    <row r="68" ht="15.75" customHeight="1">
      <c r="A68" s="70" t="s">
        <v>124</v>
      </c>
      <c r="B68" s="2"/>
      <c r="C68" s="2"/>
      <c r="D68" s="2"/>
      <c r="E68" s="2"/>
      <c r="F68" s="2"/>
      <c r="G68" s="2"/>
      <c r="H68" s="2"/>
      <c r="I68" s="2"/>
      <c r="J68" s="3"/>
      <c r="K68" s="71">
        <f t="shared" ref="K68:S68" si="16">SUM(K28+K67)</f>
        <v>1589953000</v>
      </c>
      <c r="L68" s="71">
        <f t="shared" si="16"/>
        <v>214648657.7</v>
      </c>
      <c r="M68" s="71">
        <f t="shared" si="16"/>
        <v>55438583.04</v>
      </c>
      <c r="N68" s="72">
        <f t="shared" si="16"/>
        <v>1749163075</v>
      </c>
      <c r="O68" s="72">
        <f t="shared" si="16"/>
        <v>0</v>
      </c>
      <c r="P68" s="72">
        <f t="shared" si="16"/>
        <v>0</v>
      </c>
      <c r="Q68" s="72">
        <f t="shared" si="16"/>
        <v>-35944309.7</v>
      </c>
      <c r="R68" s="72">
        <f t="shared" si="16"/>
        <v>1711496765</v>
      </c>
      <c r="S68" s="72">
        <f t="shared" si="16"/>
        <v>794239565.1</v>
      </c>
      <c r="T68" s="73">
        <f t="shared" si="11"/>
        <v>0.4640613885</v>
      </c>
      <c r="U68" s="72">
        <f>SUM(U28+U67)</f>
        <v>511642308.7</v>
      </c>
      <c r="V68" s="73">
        <f t="shared" si="17"/>
        <v>0.2989443621</v>
      </c>
      <c r="W68" s="72">
        <f>SUM(W28+W67)</f>
        <v>432954253.1</v>
      </c>
      <c r="X68" s="73">
        <f t="shared" si="13"/>
        <v>0.2529681983</v>
      </c>
      <c r="Y68" s="41"/>
      <c r="Z68" s="4"/>
      <c r="AA68" s="4"/>
    </row>
    <row r="69" ht="15.75" customHeight="1">
      <c r="A69" s="74" t="s">
        <v>125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4"/>
      <c r="Z69" s="4"/>
      <c r="AA69" s="4"/>
    </row>
    <row r="70" ht="15.75" customHeight="1">
      <c r="A70" s="74" t="s">
        <v>126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4"/>
      <c r="Z70" s="76"/>
      <c r="AA70" s="4"/>
    </row>
    <row r="71" ht="15.75" customHeight="1">
      <c r="A71" s="77" t="s">
        <v>127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4"/>
      <c r="Z71" s="76"/>
      <c r="AA71" s="4"/>
    </row>
    <row r="72" ht="15.75" customHeight="1">
      <c r="A72" s="4"/>
      <c r="B72" s="4"/>
      <c r="C72" s="78"/>
      <c r="D72" s="79"/>
      <c r="E72" s="4"/>
      <c r="F72" s="78"/>
      <c r="G72" s="80"/>
      <c r="H72" s="4"/>
      <c r="I72" s="4"/>
      <c r="J72" s="4"/>
      <c r="K72" s="4"/>
      <c r="L72" s="4"/>
      <c r="M72" s="4"/>
      <c r="N72" s="4"/>
      <c r="O72" s="4"/>
      <c r="P72" s="4"/>
      <c r="Q72" s="4"/>
      <c r="R72" s="81"/>
      <c r="S72" s="4"/>
      <c r="T72" s="4"/>
      <c r="U72" s="82"/>
      <c r="V72" s="4"/>
      <c r="W72" s="81"/>
      <c r="X72" s="81"/>
      <c r="Y72" s="81"/>
      <c r="Z72" s="4"/>
      <c r="AA72" s="4"/>
    </row>
    <row r="73" ht="15.75" customHeight="1">
      <c r="A73" s="4"/>
      <c r="B73" s="4"/>
      <c r="C73" s="4"/>
      <c r="D73" s="8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8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78"/>
      <c r="M77" s="80"/>
      <c r="N77" s="8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78"/>
      <c r="M78" s="8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83"/>
      <c r="A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8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83"/>
      <c r="A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8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8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A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28">
    <mergeCell ref="A1:F1"/>
    <mergeCell ref="A2:F2"/>
    <mergeCell ref="A3:F3"/>
    <mergeCell ref="A4:F4"/>
    <mergeCell ref="A5:F5"/>
    <mergeCell ref="A6:F6"/>
    <mergeCell ref="A7:F7"/>
    <mergeCell ref="P11:Q11"/>
    <mergeCell ref="R11:R12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67:J67"/>
    <mergeCell ref="A68:J68"/>
    <mergeCell ref="A71:M71"/>
    <mergeCell ref="A11:J11"/>
    <mergeCell ref="A12:B12"/>
    <mergeCell ref="C12:C13"/>
    <mergeCell ref="D12:D13"/>
    <mergeCell ref="E12:F12"/>
    <mergeCell ref="G12:G13"/>
    <mergeCell ref="H12:I12"/>
  </mergeCells>
  <printOptions horizontalCentered="1"/>
  <pageMargins bottom="0.75" footer="0.0" header="0.0" left="0.7" right="0.7" top="0.75"/>
  <pageSetup paperSize="9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