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10" windowWidth="28455" windowHeight="11955" firstSheet="3" activeTab="3"/>
  </bookViews>
  <sheets>
    <sheet name="JANEIRO 2022" sheetId="1" r:id="rId1"/>
    <sheet name="JANEIRO 2023" sheetId="2" r:id="rId2"/>
    <sheet name="FEVEREIRO 2022" sheetId="3" r:id="rId3"/>
    <sheet name="MAIO 2024" sheetId="29" r:id="rId4"/>
  </sheets>
  <calcPr calcId="124519"/>
  <extLst>
    <ext uri="GoogleSheetsCustomDataVersion2">
      <go:sheetsCustomData xmlns:go="http://customooxmlschemas.google.com/" r:id="" roundtripDataChecksum="ePbeuSrnVn8qy1rLSJpclpLZR2QWoA/MSECLxLCj670="/>
    </ext>
  </extLst>
</workbook>
</file>

<file path=xl/calcChain.xml><?xml version="1.0" encoding="utf-8"?>
<calcChain xmlns="http://schemas.openxmlformats.org/spreadsheetml/2006/main">
  <c r="W24" i="29"/>
  <c r="W27"/>
  <c r="Q67"/>
  <c r="P67"/>
  <c r="P68" s="1"/>
  <c r="O67"/>
  <c r="M67"/>
  <c r="N66"/>
  <c r="R66" s="1"/>
  <c r="X65"/>
  <c r="V65"/>
  <c r="R65"/>
  <c r="T65" s="1"/>
  <c r="N65"/>
  <c r="N64"/>
  <c r="R64" s="1"/>
  <c r="R63"/>
  <c r="T63" s="1"/>
  <c r="N63"/>
  <c r="N62"/>
  <c r="R62" s="1"/>
  <c r="N61"/>
  <c r="R61" s="1"/>
  <c r="N60"/>
  <c r="R60" s="1"/>
  <c r="K60"/>
  <c r="K59" s="1"/>
  <c r="N59" s="1"/>
  <c r="R59" s="1"/>
  <c r="U59"/>
  <c r="S59"/>
  <c r="N58"/>
  <c r="R58" s="1"/>
  <c r="S57"/>
  <c r="S56" s="1"/>
  <c r="N57"/>
  <c r="R57" s="1"/>
  <c r="K57"/>
  <c r="K56" s="1"/>
  <c r="N56" s="1"/>
  <c r="R56" s="1"/>
  <c r="N55"/>
  <c r="R55" s="1"/>
  <c r="T55" s="1"/>
  <c r="N54"/>
  <c r="R54" s="1"/>
  <c r="N53"/>
  <c r="R53" s="1"/>
  <c r="N52"/>
  <c r="R52" s="1"/>
  <c r="W51"/>
  <c r="W50" s="1"/>
  <c r="U51"/>
  <c r="S51"/>
  <c r="S50" s="1"/>
  <c r="N51"/>
  <c r="R51" s="1"/>
  <c r="K51"/>
  <c r="K50" s="1"/>
  <c r="N50" s="1"/>
  <c r="R50" s="1"/>
  <c r="R49"/>
  <c r="T49" s="1"/>
  <c r="N49"/>
  <c r="N48"/>
  <c r="R48" s="1"/>
  <c r="R47"/>
  <c r="T47" s="1"/>
  <c r="N47"/>
  <c r="N46"/>
  <c r="R46" s="1"/>
  <c r="N45"/>
  <c r="R45" s="1"/>
  <c r="N44"/>
  <c r="R44" s="1"/>
  <c r="V43"/>
  <c r="R43"/>
  <c r="T43" s="1"/>
  <c r="N43"/>
  <c r="N42"/>
  <c r="R42" s="1"/>
  <c r="R41"/>
  <c r="X41" s="1"/>
  <c r="N41"/>
  <c r="N40"/>
  <c r="R40" s="1"/>
  <c r="L39"/>
  <c r="L38" s="1"/>
  <c r="W37"/>
  <c r="W36" s="1"/>
  <c r="W67" s="1"/>
  <c r="U37"/>
  <c r="U36" s="1"/>
  <c r="S37"/>
  <c r="S36" s="1"/>
  <c r="N37"/>
  <c r="R37" s="1"/>
  <c r="K37"/>
  <c r="K36" s="1"/>
  <c r="K67" s="1"/>
  <c r="N35"/>
  <c r="R35" s="1"/>
  <c r="N34"/>
  <c r="R34" s="1"/>
  <c r="V33"/>
  <c r="R33"/>
  <c r="T33" s="1"/>
  <c r="N33"/>
  <c r="N32"/>
  <c r="R32" s="1"/>
  <c r="R31"/>
  <c r="X31" s="1"/>
  <c r="N31"/>
  <c r="N30"/>
  <c r="P27"/>
  <c r="O27"/>
  <c r="M27"/>
  <c r="L27"/>
  <c r="R26"/>
  <c r="X26" s="1"/>
  <c r="N26"/>
  <c r="W25"/>
  <c r="U25"/>
  <c r="U24" s="1"/>
  <c r="S25"/>
  <c r="S24" s="1"/>
  <c r="S27" s="1"/>
  <c r="K25"/>
  <c r="N25" s="1"/>
  <c r="R25" s="1"/>
  <c r="Q24"/>
  <c r="Q27" s="1"/>
  <c r="R23"/>
  <c r="X23" s="1"/>
  <c r="N23"/>
  <c r="N22"/>
  <c r="R22" s="1"/>
  <c r="V21"/>
  <c r="R21"/>
  <c r="T21" s="1"/>
  <c r="N21"/>
  <c r="N20"/>
  <c r="R20" s="1"/>
  <c r="X19"/>
  <c r="V19"/>
  <c r="R19"/>
  <c r="T19" s="1"/>
  <c r="N19"/>
  <c r="N18"/>
  <c r="R18" s="1"/>
  <c r="R17"/>
  <c r="T17" s="1"/>
  <c r="N17"/>
  <c r="N16"/>
  <c r="R16" s="1"/>
  <c r="N15"/>
  <c r="N14"/>
  <c r="R14" s="1"/>
  <c r="M106" i="3"/>
  <c r="M105"/>
  <c r="N105" s="1"/>
  <c r="M100"/>
  <c r="U96"/>
  <c r="M96"/>
  <c r="U95"/>
  <c r="U97" s="1"/>
  <c r="D95"/>
  <c r="M94"/>
  <c r="D94"/>
  <c r="M93"/>
  <c r="W89"/>
  <c r="U89"/>
  <c r="U87"/>
  <c r="W87" s="1"/>
  <c r="W73"/>
  <c r="Q73"/>
  <c r="P73"/>
  <c r="O73"/>
  <c r="X72"/>
  <c r="V72"/>
  <c r="T72"/>
  <c r="R72"/>
  <c r="N72"/>
  <c r="V71"/>
  <c r="T71"/>
  <c r="R71"/>
  <c r="X71" s="1"/>
  <c r="N71"/>
  <c r="T70"/>
  <c r="R70"/>
  <c r="X70" s="1"/>
  <c r="N70"/>
  <c r="S69"/>
  <c r="S68" s="1"/>
  <c r="R69"/>
  <c r="T69" s="1"/>
  <c r="N69"/>
  <c r="L69"/>
  <c r="U68"/>
  <c r="U88" s="1"/>
  <c r="W88" s="1"/>
  <c r="L68"/>
  <c r="K68"/>
  <c r="N68" s="1"/>
  <c r="R68" s="1"/>
  <c r="N67"/>
  <c r="R67" s="1"/>
  <c r="X66"/>
  <c r="V66"/>
  <c r="T66"/>
  <c r="R66"/>
  <c r="N66"/>
  <c r="V65"/>
  <c r="T65"/>
  <c r="R65"/>
  <c r="X65" s="1"/>
  <c r="N65"/>
  <c r="T64"/>
  <c r="R64"/>
  <c r="X64" s="1"/>
  <c r="N64"/>
  <c r="M64"/>
  <c r="M73" s="1"/>
  <c r="K64"/>
  <c r="V63"/>
  <c r="T63"/>
  <c r="R63"/>
  <c r="X63" s="1"/>
  <c r="N63"/>
  <c r="T62"/>
  <c r="R62"/>
  <c r="X62" s="1"/>
  <c r="N62"/>
  <c r="N61"/>
  <c r="R61" s="1"/>
  <c r="N60"/>
  <c r="R60" s="1"/>
  <c r="N59"/>
  <c r="R59" s="1"/>
  <c r="X58"/>
  <c r="V58"/>
  <c r="T58"/>
  <c r="R58"/>
  <c r="N58"/>
  <c r="S57"/>
  <c r="S56" s="1"/>
  <c r="L57"/>
  <c r="N57" s="1"/>
  <c r="R57" s="1"/>
  <c r="L56"/>
  <c r="K56"/>
  <c r="N56" s="1"/>
  <c r="R56" s="1"/>
  <c r="N55"/>
  <c r="R55" s="1"/>
  <c r="N54"/>
  <c r="R54" s="1"/>
  <c r="X53"/>
  <c r="V53"/>
  <c r="T53"/>
  <c r="R53"/>
  <c r="N53"/>
  <c r="V52"/>
  <c r="T52"/>
  <c r="R52"/>
  <c r="X52" s="1"/>
  <c r="N52"/>
  <c r="T51"/>
  <c r="R51"/>
  <c r="X51" s="1"/>
  <c r="N51"/>
  <c r="N50"/>
  <c r="R50" s="1"/>
  <c r="N49"/>
  <c r="R49" s="1"/>
  <c r="N48"/>
  <c r="R48" s="1"/>
  <c r="X47"/>
  <c r="V47"/>
  <c r="T47"/>
  <c r="R47"/>
  <c r="N47"/>
  <c r="V46"/>
  <c r="T46"/>
  <c r="R46"/>
  <c r="X46" s="1"/>
  <c r="N46"/>
  <c r="R45"/>
  <c r="T45" s="1"/>
  <c r="N45"/>
  <c r="S44"/>
  <c r="G95" s="1"/>
  <c r="R44"/>
  <c r="V44" s="1"/>
  <c r="N44"/>
  <c r="K44"/>
  <c r="S43"/>
  <c r="L43"/>
  <c r="M99" s="1"/>
  <c r="K43"/>
  <c r="N43" s="1"/>
  <c r="R43" s="1"/>
  <c r="X42"/>
  <c r="V42"/>
  <c r="T42"/>
  <c r="R42"/>
  <c r="N42"/>
  <c r="V41"/>
  <c r="T41"/>
  <c r="R41"/>
  <c r="X41" s="1"/>
  <c r="N41"/>
  <c r="T40"/>
  <c r="R40"/>
  <c r="X40" s="1"/>
  <c r="N40"/>
  <c r="N39"/>
  <c r="R39" s="1"/>
  <c r="N38"/>
  <c r="R38" s="1"/>
  <c r="N37"/>
  <c r="R37" s="1"/>
  <c r="X36"/>
  <c r="V36"/>
  <c r="T36"/>
  <c r="R36"/>
  <c r="N36"/>
  <c r="V35"/>
  <c r="T35"/>
  <c r="R35"/>
  <c r="X35" s="1"/>
  <c r="N35"/>
  <c r="R34"/>
  <c r="T34" s="1"/>
  <c r="N34"/>
  <c r="R33"/>
  <c r="V33" s="1"/>
  <c r="N33"/>
  <c r="U30"/>
  <c r="S30"/>
  <c r="Q30"/>
  <c r="Q74" s="1"/>
  <c r="N93" s="1"/>
  <c r="P30"/>
  <c r="P74" s="1"/>
  <c r="O30"/>
  <c r="O74" s="1"/>
  <c r="M30"/>
  <c r="L30"/>
  <c r="R29"/>
  <c r="T29" s="1"/>
  <c r="N29"/>
  <c r="R28"/>
  <c r="V28" s="1"/>
  <c r="N28"/>
  <c r="N27"/>
  <c r="R27" s="1"/>
  <c r="N26"/>
  <c r="R26" s="1"/>
  <c r="W25"/>
  <c r="W30" s="1"/>
  <c r="W74" s="1"/>
  <c r="U25"/>
  <c r="S25"/>
  <c r="G93" s="1"/>
  <c r="N25"/>
  <c r="R25" s="1"/>
  <c r="K25"/>
  <c r="K30" s="1"/>
  <c r="R24"/>
  <c r="V24" s="1"/>
  <c r="N24"/>
  <c r="N23"/>
  <c r="R23" s="1"/>
  <c r="N22"/>
  <c r="R22" s="1"/>
  <c r="X21"/>
  <c r="V21"/>
  <c r="T21"/>
  <c r="R21"/>
  <c r="N21"/>
  <c r="V20"/>
  <c r="T20"/>
  <c r="R20"/>
  <c r="X20" s="1"/>
  <c r="N20"/>
  <c r="T19"/>
  <c r="R19"/>
  <c r="X19" s="1"/>
  <c r="N19"/>
  <c r="N18"/>
  <c r="R18" s="1"/>
  <c r="N17"/>
  <c r="N30" s="1"/>
  <c r="N16"/>
  <c r="R16" s="1"/>
  <c r="X15"/>
  <c r="V15"/>
  <c r="T15"/>
  <c r="R15"/>
  <c r="N15"/>
  <c r="M110" i="2"/>
  <c r="N109" s="1"/>
  <c r="M109"/>
  <c r="M104"/>
  <c r="M103"/>
  <c r="N103" s="1"/>
  <c r="U101"/>
  <c r="U100"/>
  <c r="U99"/>
  <c r="D99"/>
  <c r="M98"/>
  <c r="D98"/>
  <c r="M97"/>
  <c r="M100" s="1"/>
  <c r="G97"/>
  <c r="U93"/>
  <c r="W93" s="1"/>
  <c r="Q78"/>
  <c r="P78"/>
  <c r="O78"/>
  <c r="W77"/>
  <c r="Q77"/>
  <c r="P77"/>
  <c r="O77"/>
  <c r="M77"/>
  <c r="L77"/>
  <c r="N76"/>
  <c r="R76" s="1"/>
  <c r="N75"/>
  <c r="R75" s="1"/>
  <c r="N74"/>
  <c r="R74" s="1"/>
  <c r="K73"/>
  <c r="N73" s="1"/>
  <c r="R73" s="1"/>
  <c r="S72"/>
  <c r="K72"/>
  <c r="N72" s="1"/>
  <c r="R72" s="1"/>
  <c r="N71"/>
  <c r="R71" s="1"/>
  <c r="X70"/>
  <c r="V70"/>
  <c r="T70"/>
  <c r="R70"/>
  <c r="N70"/>
  <c r="V69"/>
  <c r="T69"/>
  <c r="R69"/>
  <c r="X69" s="1"/>
  <c r="N69"/>
  <c r="S68"/>
  <c r="T68" s="1"/>
  <c r="R68"/>
  <c r="V68" s="1"/>
  <c r="N68"/>
  <c r="K68"/>
  <c r="V67"/>
  <c r="T67"/>
  <c r="R67"/>
  <c r="X67" s="1"/>
  <c r="N67"/>
  <c r="R66"/>
  <c r="T66" s="1"/>
  <c r="N66"/>
  <c r="R65"/>
  <c r="V65" s="1"/>
  <c r="N65"/>
  <c r="N64"/>
  <c r="R64" s="1"/>
  <c r="N63"/>
  <c r="R63" s="1"/>
  <c r="X62"/>
  <c r="V62"/>
  <c r="T62"/>
  <c r="R62"/>
  <c r="N62"/>
  <c r="X61"/>
  <c r="V61"/>
  <c r="T61"/>
  <c r="S61"/>
  <c r="S60" s="1"/>
  <c r="G98" s="1"/>
  <c r="R61"/>
  <c r="N61"/>
  <c r="K60"/>
  <c r="N60" s="1"/>
  <c r="R60" s="1"/>
  <c r="X59"/>
  <c r="V59"/>
  <c r="T59"/>
  <c r="R59"/>
  <c r="N59"/>
  <c r="V58"/>
  <c r="T58"/>
  <c r="R58"/>
  <c r="X58" s="1"/>
  <c r="N58"/>
  <c r="R57"/>
  <c r="T57" s="1"/>
  <c r="N57"/>
  <c r="R56"/>
  <c r="V56" s="1"/>
  <c r="N56"/>
  <c r="N55"/>
  <c r="R55" s="1"/>
  <c r="N54"/>
  <c r="R54" s="1"/>
  <c r="X53"/>
  <c r="V53"/>
  <c r="T53"/>
  <c r="R53"/>
  <c r="N53"/>
  <c r="V52"/>
  <c r="T52"/>
  <c r="R52"/>
  <c r="X52" s="1"/>
  <c r="N52"/>
  <c r="T51"/>
  <c r="R51"/>
  <c r="X51" s="1"/>
  <c r="N51"/>
  <c r="N50"/>
  <c r="R50" s="1"/>
  <c r="N49"/>
  <c r="R49" s="1"/>
  <c r="N48"/>
  <c r="R48" s="1"/>
  <c r="U47"/>
  <c r="U77" s="1"/>
  <c r="U78" s="1"/>
  <c r="S47"/>
  <c r="N47"/>
  <c r="R47" s="1"/>
  <c r="K47"/>
  <c r="K77" s="1"/>
  <c r="N46"/>
  <c r="R46" s="1"/>
  <c r="N45"/>
  <c r="R45" s="1"/>
  <c r="X44"/>
  <c r="V44"/>
  <c r="T44"/>
  <c r="R44"/>
  <c r="N44"/>
  <c r="V43"/>
  <c r="T43"/>
  <c r="R43"/>
  <c r="X43" s="1"/>
  <c r="N43"/>
  <c r="T42"/>
  <c r="S42"/>
  <c r="G99" s="1"/>
  <c r="R42"/>
  <c r="X42" s="1"/>
  <c r="N42"/>
  <c r="R41"/>
  <c r="T41" s="1"/>
  <c r="N41"/>
  <c r="R40"/>
  <c r="V40" s="1"/>
  <c r="N40"/>
  <c r="N39"/>
  <c r="R39" s="1"/>
  <c r="N38"/>
  <c r="R38" s="1"/>
  <c r="X37"/>
  <c r="V37"/>
  <c r="T37"/>
  <c r="R37"/>
  <c r="N37"/>
  <c r="V36"/>
  <c r="T36"/>
  <c r="R36"/>
  <c r="X36" s="1"/>
  <c r="N36"/>
  <c r="T35"/>
  <c r="R35"/>
  <c r="X35" s="1"/>
  <c r="N35"/>
  <c r="N34"/>
  <c r="R34" s="1"/>
  <c r="U31"/>
  <c r="S31"/>
  <c r="Q31"/>
  <c r="P31"/>
  <c r="O31"/>
  <c r="M31"/>
  <c r="M78" s="1"/>
  <c r="L31"/>
  <c r="L78" s="1"/>
  <c r="T30"/>
  <c r="R30"/>
  <c r="X30" s="1"/>
  <c r="N30"/>
  <c r="R29"/>
  <c r="T29" s="1"/>
  <c r="N29"/>
  <c r="N28"/>
  <c r="R28" s="1"/>
  <c r="N27"/>
  <c r="R27" s="1"/>
  <c r="W26"/>
  <c r="W31" s="1"/>
  <c r="W78" s="1"/>
  <c r="U26"/>
  <c r="U91" s="1"/>
  <c r="S26"/>
  <c r="R26"/>
  <c r="T26" s="1"/>
  <c r="N26"/>
  <c r="K26"/>
  <c r="K31" s="1"/>
  <c r="K78" s="1"/>
  <c r="R25"/>
  <c r="T25" s="1"/>
  <c r="N25"/>
  <c r="N24"/>
  <c r="R24" s="1"/>
  <c r="N23"/>
  <c r="R23" s="1"/>
  <c r="X22"/>
  <c r="V22"/>
  <c r="T22"/>
  <c r="R22"/>
  <c r="N22"/>
  <c r="V21"/>
  <c r="T21"/>
  <c r="R21"/>
  <c r="X21" s="1"/>
  <c r="N21"/>
  <c r="T20"/>
  <c r="R20"/>
  <c r="V20" s="1"/>
  <c r="N20"/>
  <c r="R19"/>
  <c r="V19" s="1"/>
  <c r="N19"/>
  <c r="N18"/>
  <c r="N31" s="1"/>
  <c r="N17"/>
  <c r="R17" s="1"/>
  <c r="X16"/>
  <c r="V16"/>
  <c r="T16"/>
  <c r="R16"/>
  <c r="N16"/>
  <c r="V15"/>
  <c r="T15"/>
  <c r="R15"/>
  <c r="X15" s="1"/>
  <c r="N15"/>
  <c r="M105" i="1"/>
  <c r="N104" s="1"/>
  <c r="M104"/>
  <c r="M107" s="1"/>
  <c r="M98"/>
  <c r="U96"/>
  <c r="U95"/>
  <c r="U94"/>
  <c r="G94"/>
  <c r="D94"/>
  <c r="M93"/>
  <c r="D93"/>
  <c r="M92"/>
  <c r="M95" s="1"/>
  <c r="U88"/>
  <c r="W88" s="1"/>
  <c r="W87"/>
  <c r="U87"/>
  <c r="P73"/>
  <c r="O73"/>
  <c r="W72"/>
  <c r="U72"/>
  <c r="Q72"/>
  <c r="P72"/>
  <c r="O72"/>
  <c r="L72"/>
  <c r="K72"/>
  <c r="N71"/>
  <c r="R71" s="1"/>
  <c r="N70"/>
  <c r="R70" s="1"/>
  <c r="X69"/>
  <c r="V69"/>
  <c r="T69"/>
  <c r="R69"/>
  <c r="N69"/>
  <c r="V68"/>
  <c r="T68"/>
  <c r="R68"/>
  <c r="X68" s="1"/>
  <c r="N68"/>
  <c r="T67"/>
  <c r="R67"/>
  <c r="V67" s="1"/>
  <c r="N67"/>
  <c r="K67"/>
  <c r="T66"/>
  <c r="R66"/>
  <c r="X66" s="1"/>
  <c r="N66"/>
  <c r="R65"/>
  <c r="T65" s="1"/>
  <c r="N65"/>
  <c r="N64"/>
  <c r="R64" s="1"/>
  <c r="S63"/>
  <c r="N63"/>
  <c r="R63" s="1"/>
  <c r="K63"/>
  <c r="N62"/>
  <c r="R62" s="1"/>
  <c r="N61"/>
  <c r="R61" s="1"/>
  <c r="X60"/>
  <c r="V60"/>
  <c r="T60"/>
  <c r="R60"/>
  <c r="N60"/>
  <c r="V59"/>
  <c r="T59"/>
  <c r="R59"/>
  <c r="X59" s="1"/>
  <c r="N59"/>
  <c r="T58"/>
  <c r="R58"/>
  <c r="V58" s="1"/>
  <c r="N58"/>
  <c r="R57"/>
  <c r="V57" s="1"/>
  <c r="N57"/>
  <c r="N56"/>
  <c r="R56" s="1"/>
  <c r="S55"/>
  <c r="N55"/>
  <c r="R55" s="1"/>
  <c r="M55"/>
  <c r="L55"/>
  <c r="K55"/>
  <c r="T54"/>
  <c r="R54"/>
  <c r="V54" s="1"/>
  <c r="N54"/>
  <c r="R53"/>
  <c r="V53" s="1"/>
  <c r="N53"/>
  <c r="N52"/>
  <c r="R52" s="1"/>
  <c r="N51"/>
  <c r="R51" s="1"/>
  <c r="X50"/>
  <c r="V50"/>
  <c r="T50"/>
  <c r="R50"/>
  <c r="N50"/>
  <c r="V49"/>
  <c r="T49"/>
  <c r="R49"/>
  <c r="X49" s="1"/>
  <c r="N49"/>
  <c r="T48"/>
  <c r="R48"/>
  <c r="X48" s="1"/>
  <c r="N48"/>
  <c r="R47"/>
  <c r="T47" s="1"/>
  <c r="N47"/>
  <c r="N46"/>
  <c r="R46" s="1"/>
  <c r="N45"/>
  <c r="R45" s="1"/>
  <c r="K44"/>
  <c r="N44" s="1"/>
  <c r="R44" s="1"/>
  <c r="S43"/>
  <c r="S72" s="1"/>
  <c r="M43"/>
  <c r="M72" s="1"/>
  <c r="L43"/>
  <c r="K43"/>
  <c r="N43" s="1"/>
  <c r="R43" s="1"/>
  <c r="R42"/>
  <c r="V42" s="1"/>
  <c r="N42"/>
  <c r="N41"/>
  <c r="R41" s="1"/>
  <c r="N40"/>
  <c r="R40" s="1"/>
  <c r="X39"/>
  <c r="V39"/>
  <c r="T39"/>
  <c r="R39"/>
  <c r="N39"/>
  <c r="V38"/>
  <c r="T38"/>
  <c r="R38"/>
  <c r="X38" s="1"/>
  <c r="N38"/>
  <c r="T37"/>
  <c r="R37"/>
  <c r="X37" s="1"/>
  <c r="N37"/>
  <c r="R36"/>
  <c r="T36" s="1"/>
  <c r="N36"/>
  <c r="N35"/>
  <c r="R35" s="1"/>
  <c r="N34"/>
  <c r="R34" s="1"/>
  <c r="X33"/>
  <c r="V33"/>
  <c r="T33"/>
  <c r="R33"/>
  <c r="N33"/>
  <c r="Q30"/>
  <c r="Q73" s="1"/>
  <c r="P30"/>
  <c r="O30"/>
  <c r="M30"/>
  <c r="M73" s="1"/>
  <c r="L30"/>
  <c r="L73" s="1"/>
  <c r="K30"/>
  <c r="K73" s="1"/>
  <c r="N29"/>
  <c r="R29" s="1"/>
  <c r="X28"/>
  <c r="V28"/>
  <c r="T28"/>
  <c r="R28"/>
  <c r="N28"/>
  <c r="V27"/>
  <c r="T27"/>
  <c r="R27"/>
  <c r="X27" s="1"/>
  <c r="N27"/>
  <c r="T26"/>
  <c r="S26"/>
  <c r="S25" s="1"/>
  <c r="G92" s="1"/>
  <c r="R26"/>
  <c r="V26" s="1"/>
  <c r="N26"/>
  <c r="K26"/>
  <c r="W25"/>
  <c r="W30" s="1"/>
  <c r="W73" s="1"/>
  <c r="U25"/>
  <c r="N25"/>
  <c r="R25" s="1"/>
  <c r="K25"/>
  <c r="N24"/>
  <c r="R24" s="1"/>
  <c r="N23"/>
  <c r="R23" s="1"/>
  <c r="X22"/>
  <c r="V22"/>
  <c r="T22"/>
  <c r="R22"/>
  <c r="N22"/>
  <c r="V21"/>
  <c r="T21"/>
  <c r="R21"/>
  <c r="X21" s="1"/>
  <c r="N21"/>
  <c r="W20"/>
  <c r="U20"/>
  <c r="U30" s="1"/>
  <c r="U73" s="1"/>
  <c r="S20"/>
  <c r="N20"/>
  <c r="R20" s="1"/>
  <c r="X19"/>
  <c r="V19"/>
  <c r="T19"/>
  <c r="R19"/>
  <c r="N19"/>
  <c r="V18"/>
  <c r="T18"/>
  <c r="R18"/>
  <c r="X18" s="1"/>
  <c r="N18"/>
  <c r="T17"/>
  <c r="R17"/>
  <c r="X17" s="1"/>
  <c r="N17"/>
  <c r="R16"/>
  <c r="T16" s="1"/>
  <c r="N16"/>
  <c r="N15"/>
  <c r="N30" s="1"/>
  <c r="W68" i="29" l="1"/>
  <c r="Q68"/>
  <c r="O68"/>
  <c r="X49"/>
  <c r="K24"/>
  <c r="K27" s="1"/>
  <c r="M68"/>
  <c r="V49"/>
  <c r="T62" i="1"/>
  <c r="X62"/>
  <c r="V62"/>
  <c r="T71"/>
  <c r="V71"/>
  <c r="X71"/>
  <c r="T28" i="2"/>
  <c r="V28"/>
  <c r="X28"/>
  <c r="T47"/>
  <c r="V47"/>
  <c r="X47"/>
  <c r="V74"/>
  <c r="T74"/>
  <c r="X74"/>
  <c r="N99" i="3"/>
  <c r="M102"/>
  <c r="T57"/>
  <c r="V57"/>
  <c r="X57"/>
  <c r="T43"/>
  <c r="V43"/>
  <c r="X43"/>
  <c r="T48" i="2"/>
  <c r="V48"/>
  <c r="X48"/>
  <c r="V61" i="1"/>
  <c r="T61"/>
  <c r="X61"/>
  <c r="X72" i="2"/>
  <c r="T72"/>
  <c r="V72"/>
  <c r="N72" i="1"/>
  <c r="T73" i="2"/>
  <c r="V73"/>
  <c r="X73"/>
  <c r="T25" i="1"/>
  <c r="V25"/>
  <c r="X25"/>
  <c r="T64" i="2"/>
  <c r="V64"/>
  <c r="X64"/>
  <c r="T23" i="3"/>
  <c r="V23"/>
  <c r="X23"/>
  <c r="T56"/>
  <c r="V56"/>
  <c r="X56"/>
  <c r="T52" i="1"/>
  <c r="V52"/>
  <c r="X52"/>
  <c r="T17" i="2"/>
  <c r="X17"/>
  <c r="V17"/>
  <c r="V45"/>
  <c r="X45"/>
  <c r="T45"/>
  <c r="T63"/>
  <c r="X63"/>
  <c r="V63"/>
  <c r="T38" i="3"/>
  <c r="V38"/>
  <c r="X38"/>
  <c r="T61"/>
  <c r="V61"/>
  <c r="X61"/>
  <c r="T24" i="1"/>
  <c r="V24"/>
  <c r="X24"/>
  <c r="T41"/>
  <c r="X41"/>
  <c r="V41"/>
  <c r="X56"/>
  <c r="T56"/>
  <c r="V56"/>
  <c r="V71" i="2"/>
  <c r="T71"/>
  <c r="X71"/>
  <c r="T18" i="3"/>
  <c r="V18"/>
  <c r="X18"/>
  <c r="T37"/>
  <c r="V37"/>
  <c r="X37"/>
  <c r="T54"/>
  <c r="V54"/>
  <c r="X54"/>
  <c r="T60"/>
  <c r="V60"/>
  <c r="X60"/>
  <c r="X68"/>
  <c r="T68"/>
  <c r="V68"/>
  <c r="X46" i="2"/>
  <c r="T46"/>
  <c r="V46"/>
  <c r="T39" i="3"/>
  <c r="V39"/>
  <c r="X39"/>
  <c r="W91" i="2"/>
  <c r="T60"/>
  <c r="V60"/>
  <c r="X60"/>
  <c r="T22" i="3"/>
  <c r="V22"/>
  <c r="X22"/>
  <c r="T55"/>
  <c r="V55"/>
  <c r="X55"/>
  <c r="V51" i="1"/>
  <c r="T51"/>
  <c r="X51"/>
  <c r="V23"/>
  <c r="T23"/>
  <c r="X23"/>
  <c r="X40"/>
  <c r="T40"/>
  <c r="V40"/>
  <c r="T55" i="2"/>
  <c r="V55"/>
  <c r="X55"/>
  <c r="T27" i="3"/>
  <c r="V27"/>
  <c r="X27"/>
  <c r="T50"/>
  <c r="V50"/>
  <c r="X50"/>
  <c r="T59"/>
  <c r="V59"/>
  <c r="X59"/>
  <c r="T67"/>
  <c r="V67"/>
  <c r="X67"/>
  <c r="S30" i="1"/>
  <c r="S73" s="1"/>
  <c r="N74" i="3"/>
  <c r="N73"/>
  <c r="W92"/>
  <c r="X29" i="1"/>
  <c r="T29"/>
  <c r="V29"/>
  <c r="T43"/>
  <c r="V43"/>
  <c r="X43"/>
  <c r="T70"/>
  <c r="V70"/>
  <c r="X70"/>
  <c r="X27" i="2"/>
  <c r="T27"/>
  <c r="V27"/>
  <c r="T20" i="1"/>
  <c r="X20"/>
  <c r="V20"/>
  <c r="T55"/>
  <c r="X55"/>
  <c r="V55"/>
  <c r="T54" i="2"/>
  <c r="V54"/>
  <c r="X54"/>
  <c r="V16" i="3"/>
  <c r="T16"/>
  <c r="X16"/>
  <c r="T26"/>
  <c r="V26"/>
  <c r="X26"/>
  <c r="T49"/>
  <c r="V49"/>
  <c r="X49"/>
  <c r="T46" i="1"/>
  <c r="V46"/>
  <c r="X46"/>
  <c r="T50" i="2"/>
  <c r="V50"/>
  <c r="X50"/>
  <c r="T48" i="3"/>
  <c r="V48"/>
  <c r="X48"/>
  <c r="T35" i="1"/>
  <c r="X35"/>
  <c r="V35"/>
  <c r="T45"/>
  <c r="V45"/>
  <c r="X45"/>
  <c r="T64"/>
  <c r="V64"/>
  <c r="X64"/>
  <c r="T49" i="2"/>
  <c r="X49"/>
  <c r="V49"/>
  <c r="N109" i="3"/>
  <c r="T44" i="1"/>
  <c r="V44"/>
  <c r="X44"/>
  <c r="T39" i="2"/>
  <c r="X39"/>
  <c r="V39"/>
  <c r="T25" i="3"/>
  <c r="V25"/>
  <c r="X25"/>
  <c r="X34" i="1"/>
  <c r="R72"/>
  <c r="T34"/>
  <c r="V34"/>
  <c r="V63"/>
  <c r="T63"/>
  <c r="X63"/>
  <c r="T24" i="2"/>
  <c r="V24"/>
  <c r="X24"/>
  <c r="X38"/>
  <c r="T38"/>
  <c r="V38"/>
  <c r="V76"/>
  <c r="X76"/>
  <c r="T76"/>
  <c r="X23"/>
  <c r="T23"/>
  <c r="V23"/>
  <c r="T34"/>
  <c r="R77"/>
  <c r="V34"/>
  <c r="X34"/>
  <c r="T75"/>
  <c r="V75"/>
  <c r="X75"/>
  <c r="N73" i="1"/>
  <c r="M74" i="3"/>
  <c r="G94"/>
  <c r="D92" i="1"/>
  <c r="R15"/>
  <c r="V17"/>
  <c r="V37"/>
  <c r="T42"/>
  <c r="V48"/>
  <c r="T53"/>
  <c r="T57"/>
  <c r="V66"/>
  <c r="T19" i="2"/>
  <c r="V30"/>
  <c r="V35"/>
  <c r="T40"/>
  <c r="V42"/>
  <c r="V51"/>
  <c r="T56"/>
  <c r="T65"/>
  <c r="R17" i="3"/>
  <c r="V19"/>
  <c r="T24"/>
  <c r="T28"/>
  <c r="T33"/>
  <c r="V40"/>
  <c r="T44"/>
  <c r="V51"/>
  <c r="V62"/>
  <c r="V64"/>
  <c r="V70"/>
  <c r="K73"/>
  <c r="K74" s="1"/>
  <c r="D93"/>
  <c r="S77" i="2"/>
  <c r="S78" s="1"/>
  <c r="M112"/>
  <c r="U73" i="3"/>
  <c r="U74" s="1"/>
  <c r="U92"/>
  <c r="X36" i="1"/>
  <c r="X47"/>
  <c r="X65"/>
  <c r="U86"/>
  <c r="X25" i="2"/>
  <c r="X29"/>
  <c r="X69" i="3"/>
  <c r="S73"/>
  <c r="S74" s="1"/>
  <c r="M108"/>
  <c r="G93" i="1"/>
  <c r="X16"/>
  <c r="V16"/>
  <c r="X26"/>
  <c r="V36"/>
  <c r="V47"/>
  <c r="X54"/>
  <c r="X58"/>
  <c r="V65"/>
  <c r="X67"/>
  <c r="N92"/>
  <c r="M99"/>
  <c r="N98" s="1"/>
  <c r="X20" i="2"/>
  <c r="V25"/>
  <c r="V29"/>
  <c r="X41"/>
  <c r="X57"/>
  <c r="X66"/>
  <c r="X68"/>
  <c r="M106"/>
  <c r="X29" i="3"/>
  <c r="X34"/>
  <c r="X45"/>
  <c r="V69"/>
  <c r="R73"/>
  <c r="U92" i="2"/>
  <c r="W92" s="1"/>
  <c r="R18"/>
  <c r="V41"/>
  <c r="V57"/>
  <c r="V66"/>
  <c r="N77"/>
  <c r="N78" s="1"/>
  <c r="N97"/>
  <c r="N113" s="1"/>
  <c r="V29" i="3"/>
  <c r="V34"/>
  <c r="V45"/>
  <c r="X26" i="2"/>
  <c r="D97"/>
  <c r="X42" i="1"/>
  <c r="X53"/>
  <c r="X57"/>
  <c r="X19" i="2"/>
  <c r="X40"/>
  <c r="X56"/>
  <c r="X65"/>
  <c r="X24" i="3"/>
  <c r="X28"/>
  <c r="X33"/>
  <c r="X44"/>
  <c r="V26" i="2"/>
  <c r="L73" i="3"/>
  <c r="L74" s="1"/>
  <c r="V46" i="29"/>
  <c r="X46"/>
  <c r="T46"/>
  <c r="T20"/>
  <c r="V20"/>
  <c r="X20"/>
  <c r="T25"/>
  <c r="V25"/>
  <c r="X25"/>
  <c r="S67"/>
  <c r="T45"/>
  <c r="V45"/>
  <c r="X45"/>
  <c r="V58"/>
  <c r="X58"/>
  <c r="T58"/>
  <c r="V37"/>
  <c r="X37"/>
  <c r="T37"/>
  <c r="T44"/>
  <c r="V44"/>
  <c r="X44"/>
  <c r="T51"/>
  <c r="V51"/>
  <c r="X51"/>
  <c r="T57"/>
  <c r="V57"/>
  <c r="X57"/>
  <c r="S68"/>
  <c r="X50"/>
  <c r="T50"/>
  <c r="T64"/>
  <c r="V64"/>
  <c r="X64"/>
  <c r="V56"/>
  <c r="X56"/>
  <c r="T56"/>
  <c r="T18"/>
  <c r="V18"/>
  <c r="X18"/>
  <c r="T35"/>
  <c r="V35"/>
  <c r="X35"/>
  <c r="T42"/>
  <c r="V42"/>
  <c r="X42"/>
  <c r="K68"/>
  <c r="T34"/>
  <c r="V34"/>
  <c r="X34"/>
  <c r="V62"/>
  <c r="X62"/>
  <c r="T62"/>
  <c r="L68"/>
  <c r="V54"/>
  <c r="X54"/>
  <c r="T54"/>
  <c r="T61"/>
  <c r="V61"/>
  <c r="X61"/>
  <c r="V16"/>
  <c r="X16"/>
  <c r="T16"/>
  <c r="T22"/>
  <c r="V22"/>
  <c r="X22"/>
  <c r="T40"/>
  <c r="V40"/>
  <c r="X40"/>
  <c r="T48"/>
  <c r="V48"/>
  <c r="X48"/>
  <c r="T53"/>
  <c r="V53"/>
  <c r="X53"/>
  <c r="T60"/>
  <c r="V60"/>
  <c r="X60"/>
  <c r="N38"/>
  <c r="R38" s="1"/>
  <c r="L67"/>
  <c r="T52"/>
  <c r="V52"/>
  <c r="X52"/>
  <c r="T59"/>
  <c r="V59"/>
  <c r="X59"/>
  <c r="T14"/>
  <c r="V14"/>
  <c r="X14"/>
  <c r="T32"/>
  <c r="V32"/>
  <c r="X32"/>
  <c r="T66"/>
  <c r="V66"/>
  <c r="X66"/>
  <c r="V23"/>
  <c r="V26"/>
  <c r="U27"/>
  <c r="V31"/>
  <c r="V41"/>
  <c r="T23"/>
  <c r="T26"/>
  <c r="T31"/>
  <c r="X33"/>
  <c r="N36"/>
  <c r="R36" s="1"/>
  <c r="N39"/>
  <c r="R39" s="1"/>
  <c r="T41"/>
  <c r="X43"/>
  <c r="U50"/>
  <c r="X17"/>
  <c r="X47"/>
  <c r="X55"/>
  <c r="X63"/>
  <c r="R15"/>
  <c r="R27" s="1"/>
  <c r="V17"/>
  <c r="V47"/>
  <c r="V55"/>
  <c r="V63"/>
  <c r="R30"/>
  <c r="X21"/>
  <c r="N24"/>
  <c r="R24" s="1"/>
  <c r="V27" l="1"/>
  <c r="X27"/>
  <c r="T27"/>
  <c r="T15" i="1"/>
  <c r="V15"/>
  <c r="X15"/>
  <c r="R30"/>
  <c r="T18" i="2"/>
  <c r="X18"/>
  <c r="V18"/>
  <c r="V50" i="29"/>
  <c r="N67"/>
  <c r="V77" i="2"/>
  <c r="T77"/>
  <c r="X77"/>
  <c r="T17" i="3"/>
  <c r="V17"/>
  <c r="X17"/>
  <c r="R30"/>
  <c r="T38" i="29"/>
  <c r="V38"/>
  <c r="X38"/>
  <c r="T72" i="1"/>
  <c r="X72"/>
  <c r="V72"/>
  <c r="N108"/>
  <c r="T24" i="29"/>
  <c r="V24"/>
  <c r="X24"/>
  <c r="T15"/>
  <c r="V15"/>
  <c r="X15"/>
  <c r="X73" i="3"/>
  <c r="T73"/>
  <c r="V73"/>
  <c r="U91" i="1"/>
  <c r="W86"/>
  <c r="W91" s="1"/>
  <c r="R31" i="2"/>
  <c r="T39" i="29"/>
  <c r="V39"/>
  <c r="X39"/>
  <c r="N27"/>
  <c r="N68" s="1"/>
  <c r="M101" i="1"/>
  <c r="U96" i="2"/>
  <c r="R67" i="29"/>
  <c r="T30"/>
  <c r="V30"/>
  <c r="X30"/>
  <c r="T36"/>
  <c r="V36"/>
  <c r="X36"/>
  <c r="U67"/>
  <c r="U68" s="1"/>
  <c r="W96" i="2"/>
  <c r="V31" l="1"/>
  <c r="X31"/>
  <c r="T31"/>
  <c r="R78"/>
  <c r="T30" i="3"/>
  <c r="V30"/>
  <c r="R74"/>
  <c r="X30"/>
  <c r="T67" i="29"/>
  <c r="V67"/>
  <c r="X67"/>
  <c r="R73" i="1"/>
  <c r="T30"/>
  <c r="V30"/>
  <c r="X30"/>
  <c r="R68" i="29"/>
  <c r="X68" l="1"/>
  <c r="T68"/>
  <c r="V68"/>
  <c r="T78" i="2"/>
  <c r="V78"/>
  <c r="X78"/>
  <c r="V74" i="3"/>
  <c r="X74"/>
  <c r="T74"/>
  <c r="T73" i="1"/>
  <c r="X73"/>
  <c r="V73"/>
</calcChain>
</file>

<file path=xl/sharedStrings.xml><?xml version="1.0" encoding="utf-8"?>
<sst xmlns="http://schemas.openxmlformats.org/spreadsheetml/2006/main" count="2268" uniqueCount="187">
  <si>
    <t>ANEXO II</t>
  </si>
  <si>
    <t>Sigla: TJAM</t>
  </si>
  <si>
    <t>Nome do Órgão: TRIBUNAL DE JUSTIÇA DO AMAZONAS</t>
  </si>
  <si>
    <t>DOMINGOS JORGE CHALUB PEREIRA</t>
  </si>
  <si>
    <t>Responsável pela Informação: SECRETÁRIO DE ORÇAMENTO E FINANÇAS</t>
  </si>
  <si>
    <t>Mês de Referência: 01/2022</t>
  </si>
  <si>
    <t>Data da Publicação: 17/02/2022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</si>
  <si>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</si>
  <si>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</si>
  <si>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</si>
  <si>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</si>
  <si>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</si>
  <si>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</si>
  <si>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</si>
  <si>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</si>
  <si>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</si>
  <si>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</si>
  <si>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</si>
  <si>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>Programática
(Programa, Ação e Subtítulo)</t>
  </si>
  <si>
    <t>Descrição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</si>
  <si>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</si>
  <si>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</si>
  <si>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</si>
  <si>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</si>
  <si>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</si>
  <si>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</si>
  <si>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</si>
  <si>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</si>
  <si>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</si>
  <si>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</si>
  <si>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</si>
  <si>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</si>
  <si>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</si>
  <si>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</si>
  <si>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</si>
  <si>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</si>
  <si>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</si>
  <si>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</si>
  <si>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</si>
  <si>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</si>
  <si>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</si>
  <si>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</si>
  <si>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</si>
  <si>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</si>
  <si>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</si>
  <si>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</si>
  <si>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</si>
  <si>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</si>
  <si>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4101</t>
  </si>
  <si>
    <t>TJAM</t>
  </si>
  <si>
    <t>02.061</t>
  </si>
  <si>
    <t>3290/2560.0001</t>
  </si>
  <si>
    <t>Prestação Jurisdicional do 1° Grau e Gestão Administrativa na Justiça Estadual</t>
  </si>
  <si>
    <t>Julgamento de Causas na Justiça Estadual do 1° Grau</t>
  </si>
  <si>
    <t>1</t>
  </si>
  <si>
    <t>100</t>
  </si>
  <si>
    <t>Diretamente Arrecadados - Orçamento Corrente</t>
  </si>
  <si>
    <t>3290/2561.0001</t>
  </si>
  <si>
    <t>Benefícios aos Servidores do 1° Grau</t>
  </si>
  <si>
    <t>3290/2563.0001</t>
  </si>
  <si>
    <t>Remuneração de Pessoal Ativo e Encargos Sociais do 1° Grau</t>
  </si>
  <si>
    <t>3291/2347.0001</t>
  </si>
  <si>
    <t>Operacionalização da Escola Superior da Magistratura</t>
  </si>
  <si>
    <t>Recursos Ordinários - Orçamento Corrente</t>
  </si>
  <si>
    <t>3291/2564.0001</t>
  </si>
  <si>
    <t>Prestação Jurisdicional do 2° Grau e Gestão Administrativa na Justiça Estadual</t>
  </si>
  <si>
    <t>Benefícios aos Servidores do 2° Grau</t>
  </si>
  <si>
    <t>3291/2566.0001</t>
  </si>
  <si>
    <t>Remuneração de Pessoal Ativo e Encargos Sociais do 2° Grau e Gestão Administrativa</t>
  </si>
  <si>
    <t>3291/2744.0001</t>
  </si>
  <si>
    <t>Remuneração de Pessoal Ativo e Encargos Sociais do Apoio Administrativo</t>
  </si>
  <si>
    <t>3291/2745.0001</t>
  </si>
  <si>
    <t>Benefícios aos Servidores do Apoio Administrativo</t>
  </si>
  <si>
    <t>02.122</t>
  </si>
  <si>
    <t>3287/2516.0001</t>
  </si>
  <si>
    <t>Manutenção da Gestão da Fundação Amazonprev</t>
  </si>
  <si>
    <t>02.128</t>
  </si>
  <si>
    <t>3291/2218.0001</t>
  </si>
  <si>
    <t>Formação e aperfeiçoamento dos Servidores</t>
  </si>
  <si>
    <t>02.272</t>
  </si>
  <si>
    <t>0002.0001.0001</t>
  </si>
  <si>
    <t>Encargos com Pessoal Inativo e Pensionistas</t>
  </si>
  <si>
    <t>300</t>
  </si>
  <si>
    <t>28.846</t>
  </si>
  <si>
    <t>0003.0023.0001</t>
  </si>
  <si>
    <t>Cumprimento de Sentenças Judiciais Transitadas em julgado</t>
  </si>
  <si>
    <t>Total l</t>
  </si>
  <si>
    <t>4703</t>
  </si>
  <si>
    <t>Fundo de Modernização e Reaparelhamento do Poder Judiciário Estadual</t>
  </si>
  <si>
    <t>3290/1475.0001</t>
  </si>
  <si>
    <t>Prestação Jurisdicional do 1° Grau na Justiça Estadual</t>
  </si>
  <si>
    <t>Reforma das Unidades Jurisdicionais do 1º Grau</t>
  </si>
  <si>
    <t>201</t>
  </si>
  <si>
    <t>3290/1475.0002</t>
  </si>
  <si>
    <t>401</t>
  </si>
  <si>
    <t>3290/1475.0003</t>
  </si>
  <si>
    <t>3290/1475.0010</t>
  </si>
  <si>
    <t>3290/1475.0011</t>
  </si>
  <si>
    <t>3290/1476.0001</t>
  </si>
  <si>
    <t>Construção de Unidades Jurisdicionais do 1. Grau.</t>
  </si>
  <si>
    <t>3290/1477.0001</t>
  </si>
  <si>
    <t>Implantação do Programa de Segurança no 1° Grau</t>
  </si>
  <si>
    <t>Julgamento de Causas na Justiça Estadual do 1º Grau</t>
  </si>
  <si>
    <t>Benefícios aos Servidores do 1. Grau</t>
  </si>
  <si>
    <t>Prestação Jurisdicional do 2° Grau na Justiça Estadual</t>
  </si>
  <si>
    <t>3291/1478.0001</t>
  </si>
  <si>
    <t>Construção de Unidades Jurisdicionais do 2. Grau.</t>
  </si>
  <si>
    <t>3291/1479.0001</t>
  </si>
  <si>
    <t>Implantação do Programa de Segurança no 2° Grau</t>
  </si>
  <si>
    <t>3291/1480.0011</t>
  </si>
  <si>
    <t>Reforma das Unidades Jurisdicionais do 2º Grau</t>
  </si>
  <si>
    <t>3291/1480.0001</t>
  </si>
  <si>
    <t>285</t>
  </si>
  <si>
    <t>3291/2565.0001</t>
  </si>
  <si>
    <t>Julgamento de Causas na Justiça Estadual do 2º Grau</t>
  </si>
  <si>
    <t>485</t>
  </si>
  <si>
    <t>3291/2581.0001</t>
  </si>
  <si>
    <t>Operacionalização da Corregedoria Geral de Justiça</t>
  </si>
  <si>
    <t>02.126</t>
  </si>
  <si>
    <t>3290/2627.0001</t>
  </si>
  <si>
    <t>Ampliação e Manutenção da Estrutura da Tecnologia da Informação no 1° Grau do Poder Judiciário</t>
  </si>
  <si>
    <t>3291/2628.0001</t>
  </si>
  <si>
    <t>Ampliação e Manutenção da Estrutura da Tecnologia da Informação no 2° Grau do Poder Judiciário</t>
  </si>
  <si>
    <t>Formação e Aperfeiçoamento dos servidores</t>
  </si>
  <si>
    <t>Total ll</t>
  </si>
  <si>
    <t>Total lll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</si>
  <si>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</si>
  <si>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</si>
  <si>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           3.No campo Crédtitos Adicionais: Acréscimos, são somados os valores de Dotação Suplementar e Dotação Especial.</t>
  </si>
  <si>
    <t>TOTAL = B-A</t>
  </si>
  <si>
    <t>CRÉDITOS ADICIONAIS</t>
  </si>
  <si>
    <t>MÊS ANTERIOR</t>
  </si>
  <si>
    <t>MÊS ATUAL</t>
  </si>
  <si>
    <t>PAGO</t>
  </si>
  <si>
    <t>EMPENHADO</t>
  </si>
  <si>
    <t>GRUPO</t>
  </si>
  <si>
    <t>TOTAL</t>
  </si>
  <si>
    <t>ACRÉSCIMOS</t>
  </si>
  <si>
    <t>DECRÉSCIMOS</t>
  </si>
  <si>
    <t>TJAM 03</t>
  </si>
  <si>
    <t>FUNJEAM 03</t>
  </si>
  <si>
    <t xml:space="preserve">GRUPO </t>
  </si>
  <si>
    <t>DECRÉSCIMSO</t>
  </si>
  <si>
    <t>ACRESCIMOS</t>
  </si>
  <si>
    <t>DECRESCIMOS</t>
  </si>
  <si>
    <t>NELIA CAMINHA JORGE</t>
  </si>
  <si>
    <t>Mês de Referência: 01/2023</t>
  </si>
  <si>
    <t>Data da Publicação: 17/02/2023</t>
  </si>
  <si>
    <t>1.500.100.0.0000.0000</t>
  </si>
  <si>
    <t>Julgamento de Causas na Justiça Estadual do 2° Grau</t>
  </si>
  <si>
    <t>1.759.201.0.0000.0000</t>
  </si>
  <si>
    <t>3290/1476.0010</t>
  </si>
  <si>
    <t>3290/1476.0011</t>
  </si>
  <si>
    <t>1.759.201.0000.0000</t>
  </si>
  <si>
    <t>1.759.285.0.0000.0000</t>
  </si>
  <si>
    <t>Mês de Referência: 02/2022</t>
  </si>
  <si>
    <t>Data da Publicação: 16/03/2022</t>
  </si>
  <si>
    <t>3290/1475.0009</t>
  </si>
  <si>
    <t>3291/1478.0011</t>
  </si>
  <si>
    <t>Recursos não Vinculados de Impostos</t>
  </si>
  <si>
    <t>Remuneração de Pessoal Ativo e Encargos Sociais do 2° Grau</t>
  </si>
  <si>
    <t>Previdência de Inativos e Pensionistas do Estado</t>
  </si>
  <si>
    <t>2</t>
  </si>
  <si>
    <t>Operações Especiais: Cumprimento de Senteças Judiciais</t>
  </si>
  <si>
    <t>Recursos Vinculados a Fundos - Diretamente Arrecadados</t>
  </si>
  <si>
    <t>2.759.201.0.0000.0000</t>
  </si>
  <si>
    <t>Recursos Vinculados a Fundos - Outras Fontes</t>
  </si>
  <si>
    <t xml:space="preserve">  </t>
  </si>
  <si>
    <t>3290/1476.0003</t>
  </si>
  <si>
    <t>Apreciação e Julgamento da Causas na Justiça Estadual do 1° Grau</t>
  </si>
  <si>
    <t>Apreciação e Julgamento de Causas na Justiça Estadual do 2° Grau</t>
  </si>
  <si>
    <t>Operacionalização da Escola Superior da Magistratura - ESMAM</t>
  </si>
  <si>
    <t>Construção, Ampliação e Reforma de Unidades Jurisdicionais do 1° Grau</t>
  </si>
  <si>
    <t>Aprimoramento da Segurança Institucional no 1° Grau</t>
  </si>
  <si>
    <t>Apreciação e Julgamento de Causas na Justiça Estadual do 1° Grau</t>
  </si>
  <si>
    <t>Construção, Ampliação e Reforma de Unidades Jurisdicionais do 2° Grau</t>
  </si>
  <si>
    <t>Aprimoramento da Segurança Institucional no 2° Grau</t>
  </si>
  <si>
    <t>3291.1574.0001</t>
  </si>
  <si>
    <t>Ampliação do Quadro Funcional do TJ</t>
  </si>
  <si>
    <t>Operacionalização da Corregedoria Geral de Justiça - CGJ/AM</t>
  </si>
  <si>
    <t>Manutenção, Ampliação e Aperfeiçoamento da Infraestrutura de TIC no 1° Grau do Poder Judiciário</t>
  </si>
  <si>
    <t>Manutenção, Ampliação e Aperfeiçoamento da Infraestrutura de TIC no 2° Grau do Poder Judiciário</t>
  </si>
  <si>
    <t>3291.2347.0001</t>
  </si>
  <si>
    <t>3290.1476.0006</t>
  </si>
  <si>
    <t>3291.2745.0001</t>
  </si>
  <si>
    <t>Mês de Referência: 05/2024</t>
  </si>
  <si>
    <t>Data da Publicação: 10/06/2024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</si>
</sst>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\ ;\(0\);\-#\ ;@\ "/>
    <numFmt numFmtId="166" formatCode="#,##0.00\ ;#,##0.00\ ;\-#\ ;@\ "/>
    <numFmt numFmtId="167" formatCode="#,##0.00\ ;#,##0.00\ ;\-#\ "/>
  </numFmts>
  <fonts count="12">
    <font>
      <sz val="11"/>
      <color rgb="FF000000"/>
      <name val="Arial"/>
      <scheme val="minor"/>
    </font>
    <font>
      <sz val="9"/>
      <color rgb="FF000000"/>
      <name val="Arial"/>
    </font>
    <font>
      <sz val="11"/>
      <name val="Arial"/>
    </font>
    <font>
      <sz val="7"/>
      <color rgb="FF000000"/>
      <name val="Arial"/>
    </font>
    <font>
      <sz val="11"/>
      <color rgb="FF000000"/>
      <name val="Arial"/>
    </font>
    <font>
      <sz val="7"/>
      <color rgb="FFFF0000"/>
      <name val="Arial"/>
    </font>
    <font>
      <b/>
      <sz val="7"/>
      <color rgb="FF000000"/>
      <name val="Arial"/>
    </font>
    <font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sz val="7"/>
      <color theme="1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CFE7E5"/>
        <bgColor rgb="FFCFE7E5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CCFFFF"/>
        <bgColor rgb="FFCCFFFF"/>
      </patternFill>
    </fill>
    <fill>
      <patternFill patternType="solid">
        <fgColor rgb="FFDBE5F1"/>
        <bgColor rgb="FFDBE5F1"/>
      </patternFill>
    </fill>
    <fill>
      <patternFill patternType="solid">
        <fgColor rgb="FF00DCFF"/>
        <bgColor rgb="FF00DCFF"/>
      </patternFill>
    </fill>
    <fill>
      <patternFill patternType="solid">
        <fgColor rgb="FFD0E0E3"/>
        <bgColor rgb="FFD0E0E3"/>
      </patternFill>
    </fill>
    <fill>
      <patternFill patternType="solid">
        <fgColor rgb="FFCFE2F3"/>
        <bgColor rgb="FFCFE2F3"/>
      </patternFill>
    </fill>
    <fill>
      <patternFill patternType="solid">
        <fgColor rgb="FFFF0000"/>
        <bgColor rgb="FFCFE2F3"/>
      </patternFill>
    </fill>
  </fills>
  <borders count="26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1"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4" fillId="0" borderId="0" xfId="0" applyFont="1" applyAlignment="1"/>
    <xf numFmtId="0" fontId="3" fillId="0" borderId="7" xfId="0" applyFont="1" applyBorder="1" applyAlignment="1"/>
    <xf numFmtId="0" fontId="3" fillId="0" borderId="3" xfId="0" applyFont="1" applyBorder="1" applyAlignment="1"/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/>
    <xf numFmtId="49" fontId="3" fillId="0" borderId="0" xfId="0" applyNumberFormat="1" applyFont="1" applyAlignment="1"/>
    <xf numFmtId="0" fontId="3" fillId="2" borderId="9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6" fontId="3" fillId="2" borderId="12" xfId="0" applyNumberFormat="1" applyFont="1" applyFill="1" applyBorder="1" applyAlignment="1">
      <alignment horizontal="right" vertical="center"/>
    </xf>
    <xf numFmtId="4" fontId="6" fillId="2" borderId="12" xfId="0" applyNumberFormat="1" applyFont="1" applyFill="1" applyBorder="1" applyAlignment="1">
      <alignment horizontal="right" vertical="center"/>
    </xf>
    <xf numFmtId="4" fontId="3" fillId="2" borderId="12" xfId="0" applyNumberFormat="1" applyFont="1" applyFill="1" applyBorder="1" applyAlignment="1">
      <alignment horizontal="right" vertical="center"/>
    </xf>
    <xf numFmtId="164" fontId="6" fillId="2" borderId="12" xfId="0" applyNumberFormat="1" applyFont="1" applyFill="1" applyBorder="1" applyAlignment="1">
      <alignment horizontal="center" vertical="center"/>
    </xf>
    <xf numFmtId="166" fontId="3" fillId="4" borderId="12" xfId="0" applyNumberFormat="1" applyFont="1" applyFill="1" applyBorder="1" applyAlignment="1">
      <alignment horizontal="right" vertical="center"/>
    </xf>
    <xf numFmtId="166" fontId="4" fillId="0" borderId="0" xfId="0" applyNumberFormat="1" applyFont="1" applyAlignment="1"/>
    <xf numFmtId="0" fontId="3" fillId="5" borderId="12" xfId="0" applyFont="1" applyFill="1" applyBorder="1" applyAlignment="1">
      <alignment horizontal="center" vertical="center" wrapText="1"/>
    </xf>
    <xf numFmtId="166" fontId="3" fillId="5" borderId="12" xfId="0" applyNumberFormat="1" applyFont="1" applyFill="1" applyBorder="1" applyAlignment="1">
      <alignment horizontal="right" vertical="center"/>
    </xf>
    <xf numFmtId="49" fontId="3" fillId="0" borderId="12" xfId="0" applyNumberFormat="1" applyFont="1" applyBorder="1" applyAlignment="1">
      <alignment horizontal="center" vertical="center" wrapText="1"/>
    </xf>
    <xf numFmtId="167" fontId="3" fillId="0" borderId="12" xfId="0" applyNumberFormat="1" applyFont="1" applyBorder="1" applyAlignment="1">
      <alignment horizontal="right" vertical="center"/>
    </xf>
    <xf numFmtId="166" fontId="3" fillId="0" borderId="12" xfId="0" applyNumberFormat="1" applyFont="1" applyBorder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4" fontId="6" fillId="0" borderId="12" xfId="0" applyNumberFormat="1" applyFont="1" applyBorder="1" applyAlignment="1">
      <alignment horizontal="center" vertical="center"/>
    </xf>
    <xf numFmtId="4" fontId="6" fillId="6" borderId="12" xfId="0" applyNumberFormat="1" applyFont="1" applyFill="1" applyBorder="1" applyAlignment="1">
      <alignment horizontal="center" vertical="center" wrapText="1"/>
    </xf>
    <xf numFmtId="164" fontId="6" fillId="6" borderId="12" xfId="0" applyNumberFormat="1" applyFont="1" applyFill="1" applyBorder="1" applyAlignment="1">
      <alignment horizontal="center" vertical="center"/>
    </xf>
    <xf numFmtId="49" fontId="7" fillId="6" borderId="12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167" fontId="3" fillId="0" borderId="11" xfId="0" applyNumberFormat="1" applyFont="1" applyBorder="1" applyAlignment="1">
      <alignment horizontal="right" vertical="center"/>
    </xf>
    <xf numFmtId="166" fontId="3" fillId="7" borderId="12" xfId="0" applyNumberFormat="1" applyFont="1" applyFill="1" applyBorder="1" applyAlignment="1">
      <alignment horizontal="right" vertical="center"/>
    </xf>
    <xf numFmtId="49" fontId="3" fillId="3" borderId="14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166" fontId="3" fillId="2" borderId="14" xfId="0" applyNumberFormat="1" applyFont="1" applyFill="1" applyBorder="1" applyAlignment="1">
      <alignment horizontal="right" vertical="center"/>
    </xf>
    <xf numFmtId="4" fontId="6" fillId="2" borderId="14" xfId="0" applyNumberFormat="1" applyFont="1" applyFill="1" applyBorder="1" applyAlignment="1">
      <alignment horizontal="right" vertical="center"/>
    </xf>
    <xf numFmtId="167" fontId="3" fillId="0" borderId="13" xfId="0" applyNumberFormat="1" applyFont="1" applyBorder="1" applyAlignment="1">
      <alignment horizontal="right" vertical="center"/>
    </xf>
    <xf numFmtId="166" fontId="3" fillId="7" borderId="14" xfId="0" applyNumberFormat="1" applyFont="1" applyFill="1" applyBorder="1" applyAlignment="1">
      <alignment horizontal="right" vertical="center"/>
    </xf>
    <xf numFmtId="166" fontId="3" fillId="8" borderId="12" xfId="0" applyNumberFormat="1" applyFont="1" applyFill="1" applyBorder="1" applyAlignment="1">
      <alignment horizontal="right" vertical="center"/>
    </xf>
    <xf numFmtId="166" fontId="3" fillId="9" borderId="12" xfId="0" applyNumberFormat="1" applyFont="1" applyFill="1" applyBorder="1" applyAlignment="1">
      <alignment horizontal="right" vertical="center"/>
    </xf>
    <xf numFmtId="49" fontId="3" fillId="6" borderId="12" xfId="0" applyNumberFormat="1" applyFont="1" applyFill="1" applyBorder="1" applyAlignment="1">
      <alignment horizontal="center" vertical="center" wrapText="1"/>
    </xf>
    <xf numFmtId="4" fontId="6" fillId="10" borderId="12" xfId="0" applyNumberFormat="1" applyFont="1" applyFill="1" applyBorder="1" applyAlignment="1">
      <alignment horizontal="center" vertical="center" wrapText="1"/>
    </xf>
    <xf numFmtId="164" fontId="6" fillId="10" borderId="12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/>
    <xf numFmtId="0" fontId="3" fillId="2" borderId="16" xfId="0" applyFont="1" applyFill="1" applyBorder="1" applyAlignment="1"/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/>
    <xf numFmtId="0" fontId="3" fillId="2" borderId="4" xfId="0" applyFont="1" applyFill="1" applyBorder="1" applyAlignment="1"/>
    <xf numFmtId="0" fontId="5" fillId="2" borderId="16" xfId="0" applyFont="1" applyFill="1" applyBorder="1" applyAlignment="1"/>
    <xf numFmtId="0" fontId="4" fillId="0" borderId="0" xfId="0" applyFont="1" applyAlignment="1">
      <alignment horizontal="center" vertical="center"/>
    </xf>
    <xf numFmtId="4" fontId="3" fillId="2" borderId="4" xfId="0" applyNumberFormat="1" applyFont="1" applyFill="1" applyBorder="1" applyAlignment="1"/>
    <xf numFmtId="166" fontId="3" fillId="2" borderId="4" xfId="0" applyNumberFormat="1" applyFont="1" applyFill="1" applyBorder="1" applyAlignment="1"/>
    <xf numFmtId="4" fontId="4" fillId="0" borderId="0" xfId="0" applyNumberFormat="1" applyFont="1" applyAlignment="1"/>
    <xf numFmtId="0" fontId="5" fillId="2" borderId="4" xfId="0" applyFont="1" applyFill="1" applyBorder="1" applyAlignment="1"/>
    <xf numFmtId="0" fontId="8" fillId="2" borderId="4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/>
    <xf numFmtId="4" fontId="10" fillId="2" borderId="12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/>
    <xf numFmtId="1" fontId="9" fillId="5" borderId="12" xfId="0" applyNumberFormat="1" applyFont="1" applyFill="1" applyBorder="1" applyAlignment="1"/>
    <xf numFmtId="4" fontId="9" fillId="5" borderId="12" xfId="0" applyNumberFormat="1" applyFont="1" applyFill="1" applyBorder="1" applyAlignment="1"/>
    <xf numFmtId="1" fontId="4" fillId="5" borderId="12" xfId="0" applyNumberFormat="1" applyFont="1" applyFill="1" applyBorder="1" applyAlignment="1"/>
    <xf numFmtId="4" fontId="9" fillId="5" borderId="12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1" fontId="9" fillId="4" borderId="12" xfId="0" applyNumberFormat="1" applyFont="1" applyFill="1" applyBorder="1" applyAlignment="1"/>
    <xf numFmtId="4" fontId="9" fillId="4" borderId="12" xfId="0" applyNumberFormat="1" applyFont="1" applyFill="1" applyBorder="1" applyAlignment="1"/>
    <xf numFmtId="4" fontId="6" fillId="0" borderId="0" xfId="0" applyNumberFormat="1" applyFont="1" applyAlignment="1"/>
    <xf numFmtId="1" fontId="4" fillId="4" borderId="12" xfId="0" applyNumberFormat="1" applyFont="1" applyFill="1" applyBorder="1" applyAlignment="1"/>
    <xf numFmtId="4" fontId="4" fillId="2" borderId="4" xfId="0" applyNumberFormat="1" applyFont="1" applyFill="1" applyBorder="1" applyAlignment="1"/>
    <xf numFmtId="4" fontId="9" fillId="4" borderId="12" xfId="0" applyNumberFormat="1" applyFont="1" applyFill="1" applyBorder="1" applyAlignment="1">
      <alignment horizontal="center"/>
    </xf>
    <xf numFmtId="1" fontId="9" fillId="7" borderId="12" xfId="0" applyNumberFormat="1" applyFont="1" applyFill="1" applyBorder="1" applyAlignment="1"/>
    <xf numFmtId="4" fontId="9" fillId="7" borderId="12" xfId="0" applyNumberFormat="1" applyFont="1" applyFill="1" applyBorder="1" applyAlignment="1"/>
    <xf numFmtId="1" fontId="4" fillId="7" borderId="12" xfId="0" applyNumberFormat="1" applyFont="1" applyFill="1" applyBorder="1" applyAlignment="1"/>
    <xf numFmtId="0" fontId="4" fillId="2" borderId="4" xfId="0" applyFont="1" applyFill="1" applyBorder="1" applyAlignment="1"/>
    <xf numFmtId="4" fontId="9" fillId="7" borderId="12" xfId="0" applyNumberFormat="1" applyFont="1" applyFill="1" applyBorder="1" applyAlignment="1">
      <alignment horizontal="center"/>
    </xf>
    <xf numFmtId="0" fontId="4" fillId="0" borderId="25" xfId="0" applyFont="1" applyBorder="1" applyAlignment="1"/>
    <xf numFmtId="164" fontId="6" fillId="0" borderId="12" xfId="0" applyNumberFormat="1" applyFont="1" applyBorder="1" applyAlignment="1">
      <alignment horizontal="center"/>
    </xf>
    <xf numFmtId="4" fontId="9" fillId="2" borderId="12" xfId="0" applyNumberFormat="1" applyFont="1" applyFill="1" applyBorder="1" applyAlignment="1"/>
    <xf numFmtId="0" fontId="4" fillId="6" borderId="25" xfId="0" applyFont="1" applyFill="1" applyBorder="1" applyAlignment="1"/>
    <xf numFmtId="166" fontId="4" fillId="6" borderId="25" xfId="0" applyNumberFormat="1" applyFont="1" applyFill="1" applyBorder="1" applyAlignment="1"/>
    <xf numFmtId="4" fontId="4" fillId="0" borderId="25" xfId="0" applyNumberFormat="1" applyFont="1" applyBorder="1" applyAlignment="1"/>
    <xf numFmtId="4" fontId="9" fillId="0" borderId="0" xfId="0" applyNumberFormat="1" applyFont="1" applyAlignment="1"/>
    <xf numFmtId="166" fontId="4" fillId="0" borderId="25" xfId="0" applyNumberFormat="1" applyFont="1" applyBorder="1" applyAlignment="1"/>
    <xf numFmtId="167" fontId="4" fillId="0" borderId="0" xfId="0" applyNumberFormat="1" applyFont="1" applyAlignment="1"/>
    <xf numFmtId="0" fontId="4" fillId="4" borderId="12" xfId="0" applyFont="1" applyFill="1" applyBorder="1" applyAlignment="1"/>
    <xf numFmtId="4" fontId="4" fillId="4" borderId="12" xfId="0" applyNumberFormat="1" applyFont="1" applyFill="1" applyBorder="1" applyAlignment="1"/>
    <xf numFmtId="164" fontId="3" fillId="2" borderId="9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 vertical="center" wrapText="1"/>
    </xf>
    <xf numFmtId="166" fontId="3" fillId="2" borderId="12" xfId="0" applyNumberFormat="1" applyFont="1" applyFill="1" applyBorder="1" applyAlignment="1">
      <alignment horizontal="right" vertical="center"/>
    </xf>
    <xf numFmtId="166" fontId="3" fillId="4" borderId="12" xfId="0" applyNumberFormat="1" applyFont="1" applyFill="1" applyBorder="1" applyAlignment="1">
      <alignment horizontal="right" vertical="center"/>
    </xf>
    <xf numFmtId="166" fontId="3" fillId="5" borderId="12" xfId="0" applyNumberFormat="1" applyFont="1" applyFill="1" applyBorder="1" applyAlignment="1">
      <alignment horizontal="right" vertical="center"/>
    </xf>
    <xf numFmtId="167" fontId="3" fillId="0" borderId="12" xfId="0" applyNumberFormat="1" applyFont="1" applyBorder="1" applyAlignment="1">
      <alignment horizontal="right" vertical="center"/>
    </xf>
    <xf numFmtId="166" fontId="3" fillId="0" borderId="12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6" fontId="3" fillId="9" borderId="12" xfId="0" applyNumberFormat="1" applyFont="1" applyFill="1" applyBorder="1" applyAlignment="1">
      <alignment horizontal="right" vertical="center"/>
    </xf>
    <xf numFmtId="167" fontId="3" fillId="0" borderId="11" xfId="0" applyNumberFormat="1" applyFont="1" applyBorder="1" applyAlignment="1">
      <alignment horizontal="right" vertical="center"/>
    </xf>
    <xf numFmtId="166" fontId="3" fillId="7" borderId="12" xfId="0" applyNumberFormat="1" applyFont="1" applyFill="1" applyBorder="1" applyAlignment="1">
      <alignment horizontal="right" vertical="center"/>
    </xf>
    <xf numFmtId="49" fontId="3" fillId="0" borderId="12" xfId="0" applyNumberFormat="1" applyFont="1" applyBorder="1" applyAlignment="1">
      <alignment horizontal="center" vertical="center" wrapText="1"/>
    </xf>
    <xf numFmtId="166" fontId="3" fillId="8" borderId="12" xfId="0" applyNumberFormat="1" applyFont="1" applyFill="1" applyBorder="1" applyAlignment="1">
      <alignment horizontal="right" vertical="center"/>
    </xf>
    <xf numFmtId="166" fontId="11" fillId="7" borderId="12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4" fontId="6" fillId="2" borderId="12" xfId="0" applyNumberFormat="1" applyFont="1" applyFill="1" applyBorder="1" applyAlignment="1">
      <alignment horizontal="right" vertical="center"/>
    </xf>
    <xf numFmtId="49" fontId="3" fillId="3" borderId="12" xfId="0" applyNumberFormat="1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7" borderId="12" xfId="0" applyFont="1" applyFill="1" applyBorder="1" applyAlignment="1">
      <alignment horizontal="center" vertical="center" wrapText="1"/>
    </xf>
    <xf numFmtId="0" fontId="3" fillId="2" borderId="12" xfId="0" quotePrefix="1" applyFont="1" applyFill="1" applyBorder="1" applyAlignment="1">
      <alignment horizontal="right" vertical="center"/>
    </xf>
    <xf numFmtId="0" fontId="3" fillId="9" borderId="12" xfId="0" applyFont="1" applyFill="1" applyBorder="1" applyAlignment="1">
      <alignment horizontal="center" vertical="center" wrapText="1"/>
    </xf>
    <xf numFmtId="166" fontId="3" fillId="11" borderId="12" xfId="0" applyNumberFormat="1" applyFont="1" applyFill="1" applyBorder="1" applyAlignment="1">
      <alignment horizontal="right" vertical="center"/>
    </xf>
    <xf numFmtId="0" fontId="3" fillId="5" borderId="12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right" vertical="center"/>
    </xf>
    <xf numFmtId="166" fontId="3" fillId="12" borderId="12" xfId="0" applyNumberFormat="1" applyFont="1" applyFill="1" applyBorder="1" applyAlignment="1">
      <alignment horizontal="right" vertical="center"/>
    </xf>
    <xf numFmtId="166" fontId="3" fillId="13" borderId="1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9" fillId="2" borderId="1" xfId="0" applyFont="1" applyFill="1" applyBorder="1" applyAlignment="1">
      <alignment horizontal="center" vertical="center"/>
    </xf>
    <xf numFmtId="0" fontId="2" fillId="0" borderId="3" xfId="0" applyFont="1" applyBorder="1"/>
    <xf numFmtId="164" fontId="9" fillId="2" borderId="1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49" fontId="7" fillId="6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49" fontId="4" fillId="6" borderId="1" xfId="0" applyNumberFormat="1" applyFont="1" applyFill="1" applyBorder="1" applyAlignment="1">
      <alignment horizontal="center" vertical="center" wrapText="1"/>
    </xf>
    <xf numFmtId="49" fontId="4" fillId="1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4" fillId="2" borderId="5" xfId="0" applyFont="1" applyFill="1" applyBorder="1" applyAlignment="1"/>
    <xf numFmtId="0" fontId="2" fillId="0" borderId="6" xfId="0" applyFont="1" applyBorder="1"/>
    <xf numFmtId="0" fontId="2" fillId="0" borderId="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13" xfId="0" applyFont="1" applyBorder="1"/>
    <xf numFmtId="0" fontId="4" fillId="0" borderId="22" xfId="0" applyFont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1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00"/>
  <sheetViews>
    <sheetView workbookViewId="0"/>
  </sheetViews>
  <sheetFormatPr defaultColWidth="12.625" defaultRowHeight="15" customHeight="1"/>
  <cols>
    <col min="1" max="1" width="9.125" customWidth="1"/>
    <col min="2" max="2" width="9.875" customWidth="1"/>
    <col min="3" max="3" width="9.125" customWidth="1"/>
    <col min="4" max="4" width="14" customWidth="1"/>
    <col min="5" max="5" width="9.125" customWidth="1"/>
    <col min="6" max="6" width="11.375" customWidth="1"/>
    <col min="7" max="7" width="14" customWidth="1"/>
    <col min="8" max="10" width="9.125" customWidth="1"/>
    <col min="11" max="11" width="13.25" customWidth="1"/>
    <col min="12" max="12" width="10.375" customWidth="1"/>
    <col min="13" max="13" width="14" customWidth="1"/>
    <col min="14" max="14" width="13.625" customWidth="1"/>
    <col min="15" max="16" width="9.125" customWidth="1"/>
    <col min="17" max="17" width="10.375" customWidth="1"/>
    <col min="18" max="18" width="12.75" customWidth="1"/>
    <col min="19" max="19" width="11.75" customWidth="1"/>
    <col min="20" max="20" width="12.375" customWidth="1"/>
    <col min="21" max="21" width="13.875" customWidth="1"/>
    <col min="22" max="22" width="9.125" customWidth="1"/>
    <col min="23" max="23" width="14.625" customWidth="1"/>
    <col min="24" max="24" width="9.125" customWidth="1"/>
    <col min="25" max="25" width="10.75" customWidth="1"/>
    <col min="26" max="27" width="9.125" customWidth="1"/>
  </cols>
  <sheetData>
    <row r="1" spans="1:27" ht="14.25" customHeight="1">
      <c r="A1" s="155" t="s">
        <v>0</v>
      </c>
      <c r="B1" s="140"/>
      <c r="C1" s="135"/>
      <c r="D1" s="1"/>
      <c r="E1" s="1"/>
      <c r="F1" s="1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5"/>
      <c r="W1" s="5"/>
      <c r="X1" s="5"/>
      <c r="Y1" s="5"/>
      <c r="Z1" s="5"/>
      <c r="AA1" s="5"/>
    </row>
    <row r="2" spans="1:27" ht="14.25" customHeight="1">
      <c r="A2" s="159" t="s">
        <v>1</v>
      </c>
      <c r="B2" s="145"/>
      <c r="C2" s="146"/>
      <c r="D2" s="1"/>
      <c r="E2" s="1"/>
      <c r="F2" s="1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5"/>
      <c r="W2" s="5"/>
      <c r="X2" s="5"/>
      <c r="Y2" s="5"/>
      <c r="Z2" s="5"/>
      <c r="AA2" s="5"/>
    </row>
    <row r="3" spans="1:27" ht="14.25" customHeight="1">
      <c r="A3" s="159" t="s">
        <v>2</v>
      </c>
      <c r="B3" s="145"/>
      <c r="C3" s="145"/>
      <c r="D3" s="145"/>
      <c r="E3" s="145"/>
      <c r="F3" s="6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5"/>
      <c r="W3" s="5"/>
      <c r="X3" s="5"/>
      <c r="Y3" s="5"/>
      <c r="Z3" s="5"/>
      <c r="AA3" s="5"/>
    </row>
    <row r="4" spans="1:27" ht="14.25" customHeight="1">
      <c r="A4" s="155" t="s">
        <v>3</v>
      </c>
      <c r="B4" s="140"/>
      <c r="C4" s="140"/>
      <c r="D4" s="140"/>
      <c r="E4" s="140"/>
      <c r="F4" s="7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5"/>
      <c r="W4" s="5"/>
      <c r="X4" s="5"/>
      <c r="Y4" s="5"/>
      <c r="Z4" s="5"/>
      <c r="AA4" s="5"/>
    </row>
    <row r="5" spans="1:27" ht="14.25" customHeight="1">
      <c r="A5" s="8" t="s">
        <v>4</v>
      </c>
      <c r="B5" s="8"/>
      <c r="C5" s="8"/>
      <c r="D5" s="8"/>
      <c r="E5" s="8"/>
      <c r="F5" s="8"/>
      <c r="G5" s="9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5"/>
      <c r="W5" s="5"/>
      <c r="X5" s="5"/>
      <c r="Y5" s="5"/>
      <c r="Z5" s="5"/>
      <c r="AA5" s="5"/>
    </row>
    <row r="6" spans="1:27" ht="14.25" customHeight="1">
      <c r="A6" s="155" t="s">
        <v>5</v>
      </c>
      <c r="B6" s="140"/>
      <c r="C6" s="140"/>
      <c r="D6" s="140"/>
      <c r="E6" s="140"/>
      <c r="F6" s="7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5"/>
      <c r="W6" s="5"/>
      <c r="X6" s="5"/>
      <c r="Y6" s="5"/>
      <c r="Z6" s="5"/>
      <c r="AA6" s="5"/>
    </row>
    <row r="7" spans="1:27" ht="14.25" customHeight="1">
      <c r="A7" s="155" t="s">
        <v>6</v>
      </c>
      <c r="B7" s="140"/>
      <c r="C7" s="140"/>
      <c r="D7" s="140"/>
      <c r="E7" s="140"/>
      <c r="F7" s="7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5"/>
      <c r="W7" s="5"/>
      <c r="X7" s="5"/>
      <c r="Y7" s="5"/>
      <c r="Z7" s="5"/>
      <c r="AA7" s="5"/>
    </row>
    <row r="8" spans="1:27" ht="14.25" customHeight="1">
      <c r="A8" s="5"/>
      <c r="B8" s="5"/>
      <c r="C8" s="5"/>
      <c r="D8" s="10"/>
      <c r="E8" s="1"/>
      <c r="F8" s="1"/>
      <c r="G8" s="1"/>
      <c r="H8" s="2"/>
      <c r="I8" s="2"/>
      <c r="J8" s="3"/>
      <c r="K8" s="1"/>
      <c r="L8" s="1"/>
      <c r="M8" s="1"/>
      <c r="N8" s="1"/>
      <c r="O8" s="1"/>
      <c r="P8" s="1"/>
      <c r="Q8" s="1"/>
      <c r="R8" s="1"/>
      <c r="S8" s="1"/>
      <c r="T8" s="1"/>
      <c r="U8" s="4"/>
      <c r="V8" s="5"/>
      <c r="W8" s="5"/>
      <c r="X8" s="5"/>
      <c r="Y8" s="5"/>
      <c r="Z8" s="5"/>
      <c r="AA8" s="5"/>
    </row>
    <row r="9" spans="1:27" ht="14.25" customHeight="1">
      <c r="A9" s="5"/>
      <c r="B9" s="5"/>
      <c r="C9" s="5"/>
      <c r="D9" s="11"/>
      <c r="E9" s="1"/>
      <c r="F9" s="1"/>
      <c r="G9" s="1"/>
      <c r="H9" s="2"/>
      <c r="I9" s="2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4"/>
      <c r="V9" s="5"/>
      <c r="W9" s="5"/>
      <c r="X9" s="5"/>
      <c r="Y9" s="5"/>
      <c r="Z9" s="5"/>
      <c r="AA9" s="5"/>
    </row>
    <row r="10" spans="1:27" ht="14.25" customHeight="1">
      <c r="A10" s="156" t="s">
        <v>7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5"/>
      <c r="Z10" s="5"/>
      <c r="AA10" s="5"/>
    </row>
    <row r="11" spans="1:27" ht="14.25" customHeight="1">
      <c r="A11" s="1"/>
      <c r="B11" s="1"/>
      <c r="C11" s="1"/>
      <c r="D11" s="1"/>
      <c r="E11" s="1"/>
      <c r="F11" s="1"/>
      <c r="G11" s="1"/>
      <c r="H11" s="2"/>
      <c r="I11" s="2"/>
      <c r="J11" s="12"/>
      <c r="K11" s="1"/>
      <c r="L11" s="1"/>
      <c r="M11" s="1"/>
      <c r="N11" s="1"/>
      <c r="O11" s="1"/>
      <c r="P11" s="1"/>
      <c r="Q11" s="1"/>
      <c r="R11" s="1"/>
      <c r="S11" s="1"/>
      <c r="T11" s="1"/>
      <c r="U11" s="4"/>
      <c r="V11" s="1"/>
      <c r="W11" s="13"/>
      <c r="X11" s="1"/>
      <c r="Y11" s="5"/>
      <c r="Z11" s="5"/>
      <c r="AA11" s="5"/>
    </row>
    <row r="12" spans="1:27" ht="14.25" customHeight="1">
      <c r="A12" s="158" t="s">
        <v>8</v>
      </c>
      <c r="B12" s="140"/>
      <c r="C12" s="140"/>
      <c r="D12" s="140"/>
      <c r="E12" s="140"/>
      <c r="F12" s="140"/>
      <c r="G12" s="140"/>
      <c r="H12" s="140"/>
      <c r="I12" s="140"/>
      <c r="J12" s="135"/>
      <c r="K12" s="157" t="s">
        <v>9</v>
      </c>
      <c r="L12" s="158" t="s">
        <v>10</v>
      </c>
      <c r="M12" s="135"/>
      <c r="N12" s="157" t="s">
        <v>11</v>
      </c>
      <c r="O12" s="157" t="s">
        <v>12</v>
      </c>
      <c r="P12" s="158" t="s">
        <v>13</v>
      </c>
      <c r="Q12" s="135"/>
      <c r="R12" s="157" t="s">
        <v>14</v>
      </c>
      <c r="S12" s="158" t="s">
        <v>15</v>
      </c>
      <c r="T12" s="140"/>
      <c r="U12" s="140"/>
      <c r="V12" s="140"/>
      <c r="W12" s="140"/>
      <c r="X12" s="135"/>
      <c r="Y12" s="5"/>
      <c r="Z12" s="5"/>
      <c r="AA12" s="5"/>
    </row>
    <row r="13" spans="1:27" ht="14.25" customHeight="1">
      <c r="A13" s="158" t="s">
        <v>16</v>
      </c>
      <c r="B13" s="135"/>
      <c r="C13" s="157" t="s">
        <v>17</v>
      </c>
      <c r="D13" s="157" t="s">
        <v>18</v>
      </c>
      <c r="E13" s="158" t="s">
        <v>19</v>
      </c>
      <c r="F13" s="135"/>
      <c r="G13" s="157" t="s">
        <v>20</v>
      </c>
      <c r="H13" s="158" t="s">
        <v>21</v>
      </c>
      <c r="I13" s="135"/>
      <c r="J13" s="137" t="s">
        <v>22</v>
      </c>
      <c r="K13" s="138"/>
      <c r="L13" s="14" t="s">
        <v>23</v>
      </c>
      <c r="M13" s="14" t="s">
        <v>24</v>
      </c>
      <c r="N13" s="138"/>
      <c r="O13" s="138"/>
      <c r="P13" s="15" t="s">
        <v>25</v>
      </c>
      <c r="Q13" s="15" t="s">
        <v>26</v>
      </c>
      <c r="R13" s="138"/>
      <c r="S13" s="16" t="s">
        <v>27</v>
      </c>
      <c r="T13" s="17" t="s">
        <v>28</v>
      </c>
      <c r="U13" s="16" t="s">
        <v>29</v>
      </c>
      <c r="V13" s="18" t="s">
        <v>28</v>
      </c>
      <c r="W13" s="19" t="s">
        <v>30</v>
      </c>
      <c r="X13" s="18" t="s">
        <v>28</v>
      </c>
      <c r="Y13" s="5"/>
      <c r="Z13" s="5"/>
      <c r="AA13" s="5"/>
    </row>
    <row r="14" spans="1:27" ht="31.5" customHeight="1">
      <c r="A14" s="16" t="s">
        <v>31</v>
      </c>
      <c r="B14" s="16" t="s">
        <v>19</v>
      </c>
      <c r="C14" s="138"/>
      <c r="D14" s="138"/>
      <c r="E14" s="15" t="s">
        <v>32</v>
      </c>
      <c r="F14" s="15" t="s">
        <v>33</v>
      </c>
      <c r="G14" s="138"/>
      <c r="H14" s="15" t="s">
        <v>31</v>
      </c>
      <c r="I14" s="15" t="s">
        <v>19</v>
      </c>
      <c r="J14" s="138"/>
      <c r="K14" s="16" t="s">
        <v>34</v>
      </c>
      <c r="L14" s="15" t="s">
        <v>35</v>
      </c>
      <c r="M14" s="15" t="s">
        <v>36</v>
      </c>
      <c r="N14" s="15" t="s">
        <v>37</v>
      </c>
      <c r="O14" s="15" t="s">
        <v>38</v>
      </c>
      <c r="P14" s="15" t="s">
        <v>39</v>
      </c>
      <c r="Q14" s="15" t="s">
        <v>40</v>
      </c>
      <c r="R14" s="16" t="s">
        <v>41</v>
      </c>
      <c r="S14" s="20" t="s">
        <v>42</v>
      </c>
      <c r="T14" s="21" t="s">
        <v>43</v>
      </c>
      <c r="U14" s="20" t="s">
        <v>44</v>
      </c>
      <c r="V14" s="21" t="s">
        <v>45</v>
      </c>
      <c r="W14" s="19" t="s">
        <v>46</v>
      </c>
      <c r="X14" s="21" t="s">
        <v>47</v>
      </c>
      <c r="Y14" s="5"/>
      <c r="Z14" s="5"/>
      <c r="AA14" s="5"/>
    </row>
    <row r="15" spans="1:27" ht="63" customHeight="1">
      <c r="A15" s="22" t="s">
        <v>48</v>
      </c>
      <c r="B15" s="23" t="s">
        <v>49</v>
      </c>
      <c r="C15" s="23" t="s">
        <v>50</v>
      </c>
      <c r="D15" s="23" t="s">
        <v>51</v>
      </c>
      <c r="E15" s="23" t="s">
        <v>52</v>
      </c>
      <c r="F15" s="23" t="s">
        <v>53</v>
      </c>
      <c r="G15" s="23" t="s">
        <v>54</v>
      </c>
      <c r="H15" s="23" t="s">
        <v>55</v>
      </c>
      <c r="I15" s="23" t="s">
        <v>56</v>
      </c>
      <c r="J15" s="24">
        <v>3</v>
      </c>
      <c r="K15" s="25">
        <v>500000</v>
      </c>
      <c r="L15" s="25">
        <v>0</v>
      </c>
      <c r="M15" s="25">
        <v>0</v>
      </c>
      <c r="N15" s="26">
        <f t="shared" ref="N15:N29" si="0">K15+L15-M15</f>
        <v>500000</v>
      </c>
      <c r="O15" s="27"/>
      <c r="P15" s="27"/>
      <c r="Q15" s="27"/>
      <c r="R15" s="26">
        <f t="shared" ref="R15:R29" si="1">N15-O15+P15+Q15</f>
        <v>500000</v>
      </c>
      <c r="S15" s="25">
        <v>0</v>
      </c>
      <c r="T15" s="28">
        <f t="shared" ref="T15:T30" si="2">IF(R15&gt;0,S15/R15,0)</f>
        <v>0</v>
      </c>
      <c r="U15" s="29">
        <v>0</v>
      </c>
      <c r="V15" s="28">
        <f t="shared" ref="V15:V30" si="3">IF(R15&gt;0,U15/R15,0)</f>
        <v>0</v>
      </c>
      <c r="W15" s="25">
        <v>0</v>
      </c>
      <c r="X15" s="28">
        <f t="shared" ref="X15:X30" si="4">IF(R15&gt;0,W15/R15,0)</f>
        <v>0</v>
      </c>
      <c r="Y15" s="5"/>
      <c r="Z15" s="5"/>
      <c r="AA15" s="5"/>
    </row>
    <row r="16" spans="1:27" ht="63" customHeight="1">
      <c r="A16" s="22" t="s">
        <v>48</v>
      </c>
      <c r="B16" s="23" t="s">
        <v>49</v>
      </c>
      <c r="C16" s="23" t="s">
        <v>50</v>
      </c>
      <c r="D16" s="23" t="s">
        <v>57</v>
      </c>
      <c r="E16" s="23" t="s">
        <v>52</v>
      </c>
      <c r="F16" s="23" t="s">
        <v>58</v>
      </c>
      <c r="G16" s="23" t="s">
        <v>54</v>
      </c>
      <c r="H16" s="23" t="s">
        <v>55</v>
      </c>
      <c r="I16" s="23" t="s">
        <v>56</v>
      </c>
      <c r="J16" s="24">
        <v>3</v>
      </c>
      <c r="K16" s="25">
        <v>68272700</v>
      </c>
      <c r="L16" s="25">
        <v>0</v>
      </c>
      <c r="M16" s="25">
        <v>0</v>
      </c>
      <c r="N16" s="26">
        <f t="shared" si="0"/>
        <v>68272700</v>
      </c>
      <c r="O16" s="27"/>
      <c r="P16" s="27"/>
      <c r="Q16" s="27"/>
      <c r="R16" s="26">
        <f t="shared" si="1"/>
        <v>68272700</v>
      </c>
      <c r="S16" s="25">
        <v>5449512.0899999999</v>
      </c>
      <c r="T16" s="28">
        <f t="shared" si="2"/>
        <v>7.9819782870752143E-2</v>
      </c>
      <c r="U16" s="29">
        <v>5449512.0899999999</v>
      </c>
      <c r="V16" s="28">
        <f t="shared" si="3"/>
        <v>7.9819782870752143E-2</v>
      </c>
      <c r="W16" s="25">
        <v>5449512.0899999999</v>
      </c>
      <c r="X16" s="28">
        <f t="shared" si="4"/>
        <v>7.9819782870752143E-2</v>
      </c>
      <c r="Y16" s="30"/>
      <c r="Z16" s="5"/>
      <c r="AA16" s="5"/>
    </row>
    <row r="17" spans="1:27" ht="63" customHeight="1">
      <c r="A17" s="22" t="s">
        <v>48</v>
      </c>
      <c r="B17" s="23" t="s">
        <v>49</v>
      </c>
      <c r="C17" s="23" t="s">
        <v>50</v>
      </c>
      <c r="D17" s="23" t="s">
        <v>59</v>
      </c>
      <c r="E17" s="23" t="s">
        <v>52</v>
      </c>
      <c r="F17" s="23" t="s">
        <v>60</v>
      </c>
      <c r="G17" s="23" t="s">
        <v>54</v>
      </c>
      <c r="H17" s="23" t="s">
        <v>55</v>
      </c>
      <c r="I17" s="23" t="s">
        <v>56</v>
      </c>
      <c r="J17" s="31">
        <v>1</v>
      </c>
      <c r="K17" s="25">
        <v>414524310</v>
      </c>
      <c r="L17" s="25">
        <v>3584210.48</v>
      </c>
      <c r="M17" s="25">
        <v>3584210.48</v>
      </c>
      <c r="N17" s="26">
        <f t="shared" si="0"/>
        <v>414524310</v>
      </c>
      <c r="O17" s="27"/>
      <c r="P17" s="27"/>
      <c r="Q17" s="27"/>
      <c r="R17" s="26">
        <f t="shared" si="1"/>
        <v>414524310</v>
      </c>
      <c r="S17" s="25">
        <v>30454561.02</v>
      </c>
      <c r="T17" s="28">
        <f t="shared" si="2"/>
        <v>7.3468697215852072E-2</v>
      </c>
      <c r="U17" s="32">
        <v>30454561.02</v>
      </c>
      <c r="V17" s="28">
        <f t="shared" si="3"/>
        <v>7.3468697215852072E-2</v>
      </c>
      <c r="W17" s="25">
        <v>30435716.989999998</v>
      </c>
      <c r="X17" s="28">
        <f t="shared" si="4"/>
        <v>7.342323780721087E-2</v>
      </c>
      <c r="Y17" s="5"/>
      <c r="Z17" s="5"/>
      <c r="AA17" s="5"/>
    </row>
    <row r="18" spans="1:27" ht="63" customHeight="1">
      <c r="A18" s="22" t="s">
        <v>48</v>
      </c>
      <c r="B18" s="23" t="s">
        <v>49</v>
      </c>
      <c r="C18" s="33" t="s">
        <v>50</v>
      </c>
      <c r="D18" s="33" t="s">
        <v>61</v>
      </c>
      <c r="E18" s="23" t="s">
        <v>52</v>
      </c>
      <c r="F18" s="33" t="s">
        <v>62</v>
      </c>
      <c r="G18" s="33" t="s">
        <v>54</v>
      </c>
      <c r="H18" s="23" t="s">
        <v>55</v>
      </c>
      <c r="I18" s="33" t="s">
        <v>63</v>
      </c>
      <c r="J18" s="31">
        <v>1</v>
      </c>
      <c r="K18" s="34">
        <v>500000</v>
      </c>
      <c r="L18" s="35">
        <v>0</v>
      </c>
      <c r="M18" s="35">
        <v>0</v>
      </c>
      <c r="N18" s="36">
        <f t="shared" si="0"/>
        <v>500000</v>
      </c>
      <c r="O18" s="36"/>
      <c r="P18" s="36"/>
      <c r="Q18" s="36"/>
      <c r="R18" s="36">
        <f t="shared" si="1"/>
        <v>500000</v>
      </c>
      <c r="S18" s="37">
        <v>0</v>
      </c>
      <c r="T18" s="38">
        <f t="shared" si="2"/>
        <v>0</v>
      </c>
      <c r="U18" s="32">
        <v>0</v>
      </c>
      <c r="V18" s="38">
        <f t="shared" si="3"/>
        <v>0</v>
      </c>
      <c r="W18" s="35">
        <v>0</v>
      </c>
      <c r="X18" s="38">
        <f t="shared" si="4"/>
        <v>0</v>
      </c>
      <c r="Y18" s="5"/>
      <c r="Z18" s="5"/>
      <c r="AA18" s="5"/>
    </row>
    <row r="19" spans="1:27" ht="63" customHeight="1">
      <c r="A19" s="22" t="s">
        <v>48</v>
      </c>
      <c r="B19" s="23" t="s">
        <v>49</v>
      </c>
      <c r="C19" s="23" t="s">
        <v>50</v>
      </c>
      <c r="D19" s="23" t="s">
        <v>64</v>
      </c>
      <c r="E19" s="23" t="s">
        <v>65</v>
      </c>
      <c r="F19" s="23" t="s">
        <v>66</v>
      </c>
      <c r="G19" s="23" t="s">
        <v>54</v>
      </c>
      <c r="H19" s="23" t="s">
        <v>55</v>
      </c>
      <c r="I19" s="23" t="s">
        <v>56</v>
      </c>
      <c r="J19" s="24">
        <v>3</v>
      </c>
      <c r="K19" s="25">
        <v>18400000</v>
      </c>
      <c r="L19" s="25">
        <v>0</v>
      </c>
      <c r="M19" s="25">
        <v>0</v>
      </c>
      <c r="N19" s="26">
        <f t="shared" si="0"/>
        <v>18400000</v>
      </c>
      <c r="O19" s="27"/>
      <c r="P19" s="27"/>
      <c r="Q19" s="27"/>
      <c r="R19" s="26">
        <f t="shared" si="1"/>
        <v>18400000</v>
      </c>
      <c r="S19" s="25">
        <v>1542379.01</v>
      </c>
      <c r="T19" s="28">
        <f t="shared" si="2"/>
        <v>8.3824946195652172E-2</v>
      </c>
      <c r="U19" s="29">
        <v>1542379.01</v>
      </c>
      <c r="V19" s="28">
        <f t="shared" si="3"/>
        <v>8.3824946195652172E-2</v>
      </c>
      <c r="W19" s="25">
        <v>1542379.01</v>
      </c>
      <c r="X19" s="28">
        <f t="shared" si="4"/>
        <v>8.3824946195652172E-2</v>
      </c>
      <c r="Y19" s="5"/>
      <c r="Z19" s="5"/>
      <c r="AA19" s="5"/>
    </row>
    <row r="20" spans="1:27" ht="63" customHeight="1">
      <c r="A20" s="22" t="s">
        <v>48</v>
      </c>
      <c r="B20" s="23" t="s">
        <v>49</v>
      </c>
      <c r="C20" s="23" t="s">
        <v>50</v>
      </c>
      <c r="D20" s="23" t="s">
        <v>67</v>
      </c>
      <c r="E20" s="23" t="s">
        <v>65</v>
      </c>
      <c r="F20" s="23" t="s">
        <v>68</v>
      </c>
      <c r="G20" s="23" t="s">
        <v>54</v>
      </c>
      <c r="H20" s="23" t="s">
        <v>55</v>
      </c>
      <c r="I20" s="23" t="s">
        <v>56</v>
      </c>
      <c r="J20" s="31">
        <v>1</v>
      </c>
      <c r="K20" s="25">
        <v>105706108</v>
      </c>
      <c r="L20" s="25">
        <v>1757068.65</v>
      </c>
      <c r="M20" s="25">
        <v>1757068.65</v>
      </c>
      <c r="N20" s="26">
        <f t="shared" si="0"/>
        <v>105706108</v>
      </c>
      <c r="O20" s="27"/>
      <c r="P20" s="27"/>
      <c r="Q20" s="27"/>
      <c r="R20" s="26">
        <f t="shared" si="1"/>
        <v>105706108</v>
      </c>
      <c r="S20" s="25">
        <f>7283870.65</f>
        <v>7283870.6500000004</v>
      </c>
      <c r="T20" s="28">
        <f t="shared" si="2"/>
        <v>6.8906809528925236E-2</v>
      </c>
      <c r="U20" s="32">
        <f>7283870.65</f>
        <v>7283870.6500000004</v>
      </c>
      <c r="V20" s="28">
        <f t="shared" si="3"/>
        <v>6.8906809528925236E-2</v>
      </c>
      <c r="W20" s="25">
        <f>7263870.65</f>
        <v>7263870.6500000004</v>
      </c>
      <c r="X20" s="28">
        <f t="shared" si="4"/>
        <v>6.8717605703541754E-2</v>
      </c>
      <c r="Y20" s="5"/>
      <c r="Z20" s="5"/>
      <c r="AA20" s="5"/>
    </row>
    <row r="21" spans="1:27" ht="63" customHeight="1">
      <c r="A21" s="22" t="s">
        <v>48</v>
      </c>
      <c r="B21" s="23" t="s">
        <v>49</v>
      </c>
      <c r="C21" s="23" t="s">
        <v>50</v>
      </c>
      <c r="D21" s="23" t="s">
        <v>69</v>
      </c>
      <c r="E21" s="23" t="s">
        <v>65</v>
      </c>
      <c r="F21" s="23" t="s">
        <v>70</v>
      </c>
      <c r="G21" s="23" t="s">
        <v>54</v>
      </c>
      <c r="H21" s="23" t="s">
        <v>55</v>
      </c>
      <c r="I21" s="23" t="s">
        <v>56</v>
      </c>
      <c r="J21" s="31">
        <v>1</v>
      </c>
      <c r="K21" s="25">
        <v>116644198</v>
      </c>
      <c r="L21" s="25">
        <v>4977.8999999999996</v>
      </c>
      <c r="M21" s="25">
        <v>4977.8999999999996</v>
      </c>
      <c r="N21" s="26">
        <f t="shared" si="0"/>
        <v>116644198</v>
      </c>
      <c r="O21" s="27"/>
      <c r="P21" s="27"/>
      <c r="Q21" s="27"/>
      <c r="R21" s="26">
        <f t="shared" si="1"/>
        <v>116644198</v>
      </c>
      <c r="S21" s="25">
        <v>8749422.8200000003</v>
      </c>
      <c r="T21" s="28">
        <f t="shared" si="2"/>
        <v>7.5009498715058257E-2</v>
      </c>
      <c r="U21" s="32">
        <v>8749422.8200000003</v>
      </c>
      <c r="V21" s="28">
        <f t="shared" si="3"/>
        <v>7.5009498715058257E-2</v>
      </c>
      <c r="W21" s="25">
        <v>8749422.8200000003</v>
      </c>
      <c r="X21" s="28">
        <f t="shared" si="4"/>
        <v>7.5009498715058257E-2</v>
      </c>
      <c r="Y21" s="5"/>
      <c r="Z21" s="5"/>
      <c r="AA21" s="5"/>
    </row>
    <row r="22" spans="1:27" ht="63" customHeight="1">
      <c r="A22" s="22" t="s">
        <v>48</v>
      </c>
      <c r="B22" s="23" t="s">
        <v>49</v>
      </c>
      <c r="C22" s="23" t="s">
        <v>50</v>
      </c>
      <c r="D22" s="23" t="s">
        <v>71</v>
      </c>
      <c r="E22" s="23" t="s">
        <v>65</v>
      </c>
      <c r="F22" s="23" t="s">
        <v>72</v>
      </c>
      <c r="G22" s="23" t="s">
        <v>54</v>
      </c>
      <c r="H22" s="23" t="s">
        <v>55</v>
      </c>
      <c r="I22" s="23" t="s">
        <v>56</v>
      </c>
      <c r="J22" s="24">
        <v>3</v>
      </c>
      <c r="K22" s="25">
        <v>19300000</v>
      </c>
      <c r="L22" s="25">
        <v>0</v>
      </c>
      <c r="M22" s="25">
        <v>0</v>
      </c>
      <c r="N22" s="26">
        <f t="shared" si="0"/>
        <v>19300000</v>
      </c>
      <c r="O22" s="27"/>
      <c r="P22" s="27"/>
      <c r="Q22" s="27"/>
      <c r="R22" s="26">
        <f t="shared" si="1"/>
        <v>19300000</v>
      </c>
      <c r="S22" s="25">
        <v>1680500.43</v>
      </c>
      <c r="T22" s="28">
        <f t="shared" si="2"/>
        <v>8.7072561139896365E-2</v>
      </c>
      <c r="U22" s="29">
        <v>1680500.43</v>
      </c>
      <c r="V22" s="28">
        <f t="shared" si="3"/>
        <v>8.7072561139896365E-2</v>
      </c>
      <c r="W22" s="25">
        <v>1680500.43</v>
      </c>
      <c r="X22" s="28">
        <f t="shared" si="4"/>
        <v>8.7072561139896365E-2</v>
      </c>
      <c r="Y22" s="5"/>
      <c r="Z22" s="5"/>
      <c r="AA22" s="5"/>
    </row>
    <row r="23" spans="1:27" ht="63" customHeight="1">
      <c r="A23" s="22" t="s">
        <v>48</v>
      </c>
      <c r="B23" s="23" t="s">
        <v>49</v>
      </c>
      <c r="C23" s="23" t="s">
        <v>73</v>
      </c>
      <c r="D23" s="23" t="s">
        <v>74</v>
      </c>
      <c r="E23" s="23" t="s">
        <v>65</v>
      </c>
      <c r="F23" s="23" t="s">
        <v>75</v>
      </c>
      <c r="G23" s="23" t="s">
        <v>54</v>
      </c>
      <c r="H23" s="23" t="s">
        <v>55</v>
      </c>
      <c r="I23" s="23" t="s">
        <v>63</v>
      </c>
      <c r="J23" s="24">
        <v>3</v>
      </c>
      <c r="K23" s="25">
        <v>1500000</v>
      </c>
      <c r="L23" s="25">
        <v>0</v>
      </c>
      <c r="M23" s="25">
        <v>0</v>
      </c>
      <c r="N23" s="26">
        <f t="shared" si="0"/>
        <v>1500000</v>
      </c>
      <c r="O23" s="27"/>
      <c r="P23" s="27"/>
      <c r="Q23" s="27"/>
      <c r="R23" s="26">
        <f t="shared" si="1"/>
        <v>1500000</v>
      </c>
      <c r="S23" s="25">
        <v>158635.06</v>
      </c>
      <c r="T23" s="28">
        <f t="shared" si="2"/>
        <v>0.10575670666666666</v>
      </c>
      <c r="U23" s="29">
        <v>158635.06</v>
      </c>
      <c r="V23" s="28">
        <f t="shared" si="3"/>
        <v>0.10575670666666666</v>
      </c>
      <c r="W23" s="25">
        <v>158635.06</v>
      </c>
      <c r="X23" s="28">
        <f t="shared" si="4"/>
        <v>0.10575670666666666</v>
      </c>
      <c r="Y23" s="5"/>
      <c r="Z23" s="5"/>
      <c r="AA23" s="5"/>
    </row>
    <row r="24" spans="1:27" ht="63" customHeight="1">
      <c r="A24" s="22" t="s">
        <v>48</v>
      </c>
      <c r="B24" s="23" t="s">
        <v>49</v>
      </c>
      <c r="C24" s="23" t="s">
        <v>76</v>
      </c>
      <c r="D24" s="23" t="s">
        <v>77</v>
      </c>
      <c r="E24" s="33" t="s">
        <v>65</v>
      </c>
      <c r="F24" s="23" t="s">
        <v>78</v>
      </c>
      <c r="G24" s="23" t="s">
        <v>54</v>
      </c>
      <c r="H24" s="23" t="s">
        <v>55</v>
      </c>
      <c r="I24" s="23" t="s">
        <v>56</v>
      </c>
      <c r="J24" s="31">
        <v>1</v>
      </c>
      <c r="K24" s="34">
        <v>400000</v>
      </c>
      <c r="L24" s="25">
        <v>0</v>
      </c>
      <c r="M24" s="25">
        <v>0</v>
      </c>
      <c r="N24" s="26">
        <f t="shared" si="0"/>
        <v>400000</v>
      </c>
      <c r="O24" s="26"/>
      <c r="P24" s="26"/>
      <c r="Q24" s="26"/>
      <c r="R24" s="26">
        <f t="shared" si="1"/>
        <v>400000</v>
      </c>
      <c r="S24" s="35">
        <v>5880</v>
      </c>
      <c r="T24" s="28">
        <f t="shared" si="2"/>
        <v>1.47E-2</v>
      </c>
      <c r="U24" s="32">
        <v>5880</v>
      </c>
      <c r="V24" s="28">
        <f t="shared" si="3"/>
        <v>1.47E-2</v>
      </c>
      <c r="W24" s="25">
        <v>5880</v>
      </c>
      <c r="X24" s="28">
        <f t="shared" si="4"/>
        <v>1.47E-2</v>
      </c>
      <c r="Y24" s="5"/>
      <c r="Z24" s="5"/>
      <c r="AA24" s="5"/>
    </row>
    <row r="25" spans="1:27" ht="63" customHeight="1">
      <c r="A25" s="22" t="s">
        <v>48</v>
      </c>
      <c r="B25" s="23" t="s">
        <v>49</v>
      </c>
      <c r="C25" s="23" t="s">
        <v>79</v>
      </c>
      <c r="D25" s="23" t="s">
        <v>80</v>
      </c>
      <c r="E25" s="23" t="s">
        <v>65</v>
      </c>
      <c r="F25" s="23" t="s">
        <v>81</v>
      </c>
      <c r="G25" s="23" t="s">
        <v>54</v>
      </c>
      <c r="H25" s="23" t="s">
        <v>55</v>
      </c>
      <c r="I25" s="23" t="s">
        <v>63</v>
      </c>
      <c r="J25" s="31">
        <v>1</v>
      </c>
      <c r="K25" s="25">
        <f>122077300-K26</f>
        <v>116550000</v>
      </c>
      <c r="L25" s="25">
        <v>15000000</v>
      </c>
      <c r="M25" s="25">
        <v>15000000</v>
      </c>
      <c r="N25" s="26">
        <f t="shared" si="0"/>
        <v>116550000</v>
      </c>
      <c r="O25" s="26"/>
      <c r="P25" s="26"/>
      <c r="Q25" s="26"/>
      <c r="R25" s="26">
        <f t="shared" si="1"/>
        <v>116550000</v>
      </c>
      <c r="S25" s="25">
        <f>5153219.47-S26</f>
        <v>4698452.88</v>
      </c>
      <c r="T25" s="28">
        <f t="shared" si="2"/>
        <v>4.0312766023166025E-2</v>
      </c>
      <c r="U25" s="32">
        <f>5114219.47-U26</f>
        <v>4659452.88</v>
      </c>
      <c r="V25" s="28">
        <f t="shared" si="3"/>
        <v>3.9978145688545685E-2</v>
      </c>
      <c r="W25" s="25">
        <f>5114219.47-W26</f>
        <v>4659452.88</v>
      </c>
      <c r="X25" s="28">
        <f t="shared" si="4"/>
        <v>3.9978145688545685E-2</v>
      </c>
      <c r="Y25" s="5"/>
      <c r="Z25" s="5"/>
      <c r="AA25" s="5"/>
    </row>
    <row r="26" spans="1:27" ht="63" customHeight="1">
      <c r="A26" s="22" t="s">
        <v>48</v>
      </c>
      <c r="B26" s="23" t="s">
        <v>49</v>
      </c>
      <c r="C26" s="23" t="s">
        <v>79</v>
      </c>
      <c r="D26" s="23" t="s">
        <v>80</v>
      </c>
      <c r="E26" s="23" t="s">
        <v>65</v>
      </c>
      <c r="F26" s="23" t="s">
        <v>81</v>
      </c>
      <c r="G26" s="23" t="s">
        <v>54</v>
      </c>
      <c r="H26" s="23" t="s">
        <v>55</v>
      </c>
      <c r="I26" s="23" t="s">
        <v>63</v>
      </c>
      <c r="J26" s="24">
        <v>3</v>
      </c>
      <c r="K26" s="25">
        <f>5527300</f>
        <v>5527300</v>
      </c>
      <c r="L26" s="25">
        <v>0</v>
      </c>
      <c r="M26" s="25">
        <v>0</v>
      </c>
      <c r="N26" s="26">
        <f t="shared" si="0"/>
        <v>5527300</v>
      </c>
      <c r="O26" s="26"/>
      <c r="P26" s="26"/>
      <c r="Q26" s="26"/>
      <c r="R26" s="26">
        <f t="shared" si="1"/>
        <v>5527300</v>
      </c>
      <c r="S26" s="25">
        <f>454766.59</f>
        <v>454766.59</v>
      </c>
      <c r="T26" s="28">
        <f t="shared" si="2"/>
        <v>8.2276444195176671E-2</v>
      </c>
      <c r="U26" s="29">
        <v>454766.59</v>
      </c>
      <c r="V26" s="28">
        <f t="shared" si="3"/>
        <v>8.2276444195176671E-2</v>
      </c>
      <c r="W26" s="25">
        <v>454766.59</v>
      </c>
      <c r="X26" s="28">
        <f t="shared" si="4"/>
        <v>8.2276444195176671E-2</v>
      </c>
      <c r="Y26" s="5"/>
      <c r="Z26" s="5"/>
      <c r="AA26" s="5"/>
    </row>
    <row r="27" spans="1:27" ht="63" hidden="1" customHeight="1">
      <c r="A27" s="22" t="s">
        <v>48</v>
      </c>
      <c r="B27" s="23" t="s">
        <v>49</v>
      </c>
      <c r="C27" s="23" t="s">
        <v>79</v>
      </c>
      <c r="D27" s="23" t="s">
        <v>80</v>
      </c>
      <c r="E27" s="23" t="s">
        <v>65</v>
      </c>
      <c r="F27" s="23" t="s">
        <v>81</v>
      </c>
      <c r="G27" s="23" t="s">
        <v>54</v>
      </c>
      <c r="H27" s="23" t="s">
        <v>82</v>
      </c>
      <c r="I27" s="23" t="s">
        <v>63</v>
      </c>
      <c r="J27" s="31">
        <v>1</v>
      </c>
      <c r="K27" s="25"/>
      <c r="L27" s="25"/>
      <c r="M27" s="25"/>
      <c r="N27" s="26">
        <f t="shared" si="0"/>
        <v>0</v>
      </c>
      <c r="O27" s="26"/>
      <c r="P27" s="26"/>
      <c r="Q27" s="26"/>
      <c r="R27" s="26">
        <f t="shared" si="1"/>
        <v>0</v>
      </c>
      <c r="S27" s="25"/>
      <c r="T27" s="28">
        <f t="shared" si="2"/>
        <v>0</v>
      </c>
      <c r="U27" s="32"/>
      <c r="V27" s="28">
        <f t="shared" si="3"/>
        <v>0</v>
      </c>
      <c r="W27" s="25"/>
      <c r="X27" s="28">
        <f t="shared" si="4"/>
        <v>0</v>
      </c>
      <c r="Y27" s="5"/>
      <c r="Z27" s="5"/>
      <c r="AA27" s="5"/>
    </row>
    <row r="28" spans="1:27" ht="63" customHeight="1">
      <c r="A28" s="22" t="s">
        <v>48</v>
      </c>
      <c r="B28" s="23" t="s">
        <v>49</v>
      </c>
      <c r="C28" s="23" t="s">
        <v>83</v>
      </c>
      <c r="D28" s="23" t="s">
        <v>84</v>
      </c>
      <c r="E28" s="23" t="s">
        <v>65</v>
      </c>
      <c r="F28" s="23" t="s">
        <v>85</v>
      </c>
      <c r="G28" s="23" t="s">
        <v>54</v>
      </c>
      <c r="H28" s="23" t="s">
        <v>55</v>
      </c>
      <c r="I28" s="23" t="s">
        <v>63</v>
      </c>
      <c r="J28" s="31">
        <v>1</v>
      </c>
      <c r="K28" s="25">
        <v>1444384</v>
      </c>
      <c r="L28" s="25">
        <v>0</v>
      </c>
      <c r="M28" s="25">
        <v>0</v>
      </c>
      <c r="N28" s="26">
        <f t="shared" si="0"/>
        <v>1444384</v>
      </c>
      <c r="O28" s="26"/>
      <c r="P28" s="26"/>
      <c r="Q28" s="26"/>
      <c r="R28" s="26">
        <f t="shared" si="1"/>
        <v>1444384</v>
      </c>
      <c r="S28" s="25">
        <v>2181.91</v>
      </c>
      <c r="T28" s="28">
        <f t="shared" si="2"/>
        <v>1.5106162904047675E-3</v>
      </c>
      <c r="U28" s="32">
        <v>2181.91</v>
      </c>
      <c r="V28" s="28">
        <f t="shared" si="3"/>
        <v>1.5106162904047675E-3</v>
      </c>
      <c r="W28" s="25">
        <v>2181.91</v>
      </c>
      <c r="X28" s="28">
        <f t="shared" si="4"/>
        <v>1.5106162904047675E-3</v>
      </c>
      <c r="Y28" s="5"/>
      <c r="Z28" s="5"/>
      <c r="AA28" s="5"/>
    </row>
    <row r="29" spans="1:27" ht="63" hidden="1" customHeight="1">
      <c r="A29" s="22" t="s">
        <v>48</v>
      </c>
      <c r="B29" s="23" t="s">
        <v>49</v>
      </c>
      <c r="C29" s="23" t="s">
        <v>83</v>
      </c>
      <c r="D29" s="23" t="s">
        <v>84</v>
      </c>
      <c r="E29" s="23" t="s">
        <v>65</v>
      </c>
      <c r="F29" s="23" t="s">
        <v>85</v>
      </c>
      <c r="G29" s="23" t="s">
        <v>54</v>
      </c>
      <c r="H29" s="23" t="s">
        <v>82</v>
      </c>
      <c r="I29" s="23" t="s">
        <v>63</v>
      </c>
      <c r="J29" s="31">
        <v>1</v>
      </c>
      <c r="K29" s="25"/>
      <c r="L29" s="25"/>
      <c r="M29" s="25"/>
      <c r="N29" s="26">
        <f t="shared" si="0"/>
        <v>0</v>
      </c>
      <c r="O29" s="26"/>
      <c r="P29" s="26"/>
      <c r="Q29" s="26"/>
      <c r="R29" s="26">
        <f t="shared" si="1"/>
        <v>0</v>
      </c>
      <c r="S29" s="25"/>
      <c r="T29" s="28">
        <f t="shared" si="2"/>
        <v>0</v>
      </c>
      <c r="U29" s="32"/>
      <c r="V29" s="28">
        <f t="shared" si="3"/>
        <v>0</v>
      </c>
      <c r="W29" s="25"/>
      <c r="X29" s="28">
        <f t="shared" si="4"/>
        <v>0</v>
      </c>
      <c r="Y29" s="5"/>
      <c r="Z29" s="5"/>
      <c r="AA29" s="5"/>
    </row>
    <row r="30" spans="1:27" ht="16.5" customHeight="1">
      <c r="A30" s="139" t="s">
        <v>86</v>
      </c>
      <c r="B30" s="140"/>
      <c r="C30" s="140"/>
      <c r="D30" s="140"/>
      <c r="E30" s="140"/>
      <c r="F30" s="140"/>
      <c r="G30" s="140"/>
      <c r="H30" s="140"/>
      <c r="I30" s="140"/>
      <c r="J30" s="135"/>
      <c r="K30" s="39">
        <f t="shared" ref="K30:N30" si="5">SUM(K15:K29)</f>
        <v>869269000</v>
      </c>
      <c r="L30" s="39">
        <f t="shared" si="5"/>
        <v>20346257.030000001</v>
      </c>
      <c r="M30" s="39">
        <f t="shared" si="5"/>
        <v>20346257.030000001</v>
      </c>
      <c r="N30" s="39">
        <f t="shared" si="5"/>
        <v>869269000</v>
      </c>
      <c r="O30" s="39">
        <f t="shared" ref="O30:P30" si="6">SUM(O15:O28)</f>
        <v>0</v>
      </c>
      <c r="P30" s="39">
        <f t="shared" si="6"/>
        <v>0</v>
      </c>
      <c r="Q30" s="39">
        <f t="shared" ref="Q30:S30" si="7">SUM(Q15:Q29)</f>
        <v>0</v>
      </c>
      <c r="R30" s="39">
        <f t="shared" si="7"/>
        <v>869269000</v>
      </c>
      <c r="S30" s="39">
        <f t="shared" si="7"/>
        <v>60480162.460000001</v>
      </c>
      <c r="T30" s="40">
        <f t="shared" si="2"/>
        <v>6.9575887855197874E-2</v>
      </c>
      <c r="U30" s="39">
        <f>SUM(U15:U29)</f>
        <v>60441162.460000001</v>
      </c>
      <c r="V30" s="40">
        <f t="shared" si="3"/>
        <v>6.9531022571839102E-2</v>
      </c>
      <c r="W30" s="39">
        <f>SUM(W15:W29)</f>
        <v>60402318.43</v>
      </c>
      <c r="X30" s="40">
        <f t="shared" si="4"/>
        <v>6.9486336715102001E-2</v>
      </c>
      <c r="Y30" s="5"/>
      <c r="Z30" s="5"/>
      <c r="AA30" s="5"/>
    </row>
    <row r="31" spans="1:27" ht="15" customHeight="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39"/>
      <c r="L31" s="39"/>
      <c r="M31" s="39"/>
      <c r="N31" s="39"/>
      <c r="O31" s="39"/>
      <c r="P31" s="39"/>
      <c r="Q31" s="39"/>
      <c r="R31" s="39"/>
      <c r="S31" s="39"/>
      <c r="T31" s="40"/>
      <c r="U31" s="39"/>
      <c r="V31" s="40"/>
      <c r="W31" s="39"/>
      <c r="X31" s="40"/>
      <c r="Y31" s="5"/>
      <c r="Z31" s="5"/>
      <c r="AA31" s="5"/>
    </row>
    <row r="32" spans="1:27" ht="15" customHeight="1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38"/>
      <c r="U32" s="43"/>
      <c r="V32" s="38"/>
      <c r="W32" s="43"/>
      <c r="X32" s="38"/>
      <c r="Y32" s="5"/>
      <c r="Z32" s="5"/>
      <c r="AA32" s="5"/>
    </row>
    <row r="33" spans="1:27" ht="54" customHeight="1">
      <c r="A33" s="22" t="s">
        <v>87</v>
      </c>
      <c r="B33" s="23" t="s">
        <v>88</v>
      </c>
      <c r="C33" s="23" t="s">
        <v>50</v>
      </c>
      <c r="D33" s="23" t="s">
        <v>89</v>
      </c>
      <c r="E33" s="33" t="s">
        <v>90</v>
      </c>
      <c r="F33" s="23" t="s">
        <v>91</v>
      </c>
      <c r="G33" s="23" t="s">
        <v>54</v>
      </c>
      <c r="H33" s="23" t="s">
        <v>92</v>
      </c>
      <c r="I33" s="23" t="s">
        <v>56</v>
      </c>
      <c r="J33" s="44">
        <v>4</v>
      </c>
      <c r="K33" s="45">
        <v>2000000</v>
      </c>
      <c r="L33" s="25">
        <v>0</v>
      </c>
      <c r="M33" s="25">
        <v>0</v>
      </c>
      <c r="N33" s="26">
        <f t="shared" ref="N33:N71" si="8">K33+L33-M33</f>
        <v>2000000</v>
      </c>
      <c r="O33" s="26"/>
      <c r="P33" s="26"/>
      <c r="Q33" s="26"/>
      <c r="R33" s="26">
        <f t="shared" ref="R33:R71" si="9">N33-O33+P33+Q33</f>
        <v>2000000</v>
      </c>
      <c r="S33" s="45">
        <v>1883187.59</v>
      </c>
      <c r="T33" s="28">
        <f t="shared" ref="T33:T73" si="10">IF(R33&gt;0,S33/R33,0)</f>
        <v>0.94159379500000007</v>
      </c>
      <c r="U33" s="46">
        <v>0</v>
      </c>
      <c r="V33" s="28">
        <f t="shared" ref="V33:V73" si="11">IF(R33&gt;0,U33/R33,0)</f>
        <v>0</v>
      </c>
      <c r="W33" s="25">
        <v>0</v>
      </c>
      <c r="X33" s="28">
        <f t="shared" ref="X33:X73" si="12">IF(R33&gt;0,W33/R33,0)</f>
        <v>0</v>
      </c>
      <c r="Y33" s="5"/>
      <c r="Z33" s="5"/>
      <c r="AA33" s="5"/>
    </row>
    <row r="34" spans="1:27" ht="54" hidden="1" customHeight="1">
      <c r="A34" s="22" t="s">
        <v>87</v>
      </c>
      <c r="B34" s="23" t="s">
        <v>88</v>
      </c>
      <c r="C34" s="23" t="s">
        <v>50</v>
      </c>
      <c r="D34" s="23" t="s">
        <v>93</v>
      </c>
      <c r="E34" s="33" t="s">
        <v>90</v>
      </c>
      <c r="F34" s="23" t="s">
        <v>91</v>
      </c>
      <c r="G34" s="23" t="s">
        <v>54</v>
      </c>
      <c r="H34" s="23" t="s">
        <v>94</v>
      </c>
      <c r="I34" s="23" t="s">
        <v>56</v>
      </c>
      <c r="J34" s="24">
        <v>3</v>
      </c>
      <c r="K34" s="45"/>
      <c r="L34" s="25"/>
      <c r="M34" s="25"/>
      <c r="N34" s="26">
        <f t="shared" si="8"/>
        <v>0</v>
      </c>
      <c r="O34" s="26"/>
      <c r="P34" s="26"/>
      <c r="Q34" s="26"/>
      <c r="R34" s="26">
        <f t="shared" si="9"/>
        <v>0</v>
      </c>
      <c r="S34" s="45"/>
      <c r="T34" s="28">
        <f t="shared" si="10"/>
        <v>0</v>
      </c>
      <c r="U34" s="29"/>
      <c r="V34" s="28">
        <f t="shared" si="11"/>
        <v>0</v>
      </c>
      <c r="W34" s="25"/>
      <c r="X34" s="28">
        <f t="shared" si="12"/>
        <v>0</v>
      </c>
      <c r="Y34" s="5"/>
      <c r="Z34" s="5"/>
      <c r="AA34" s="5"/>
    </row>
    <row r="35" spans="1:27" ht="54" hidden="1" customHeight="1">
      <c r="A35" s="22" t="s">
        <v>87</v>
      </c>
      <c r="B35" s="23" t="s">
        <v>88</v>
      </c>
      <c r="C35" s="23" t="s">
        <v>50</v>
      </c>
      <c r="D35" s="23" t="s">
        <v>95</v>
      </c>
      <c r="E35" s="33" t="s">
        <v>90</v>
      </c>
      <c r="F35" s="23" t="s">
        <v>91</v>
      </c>
      <c r="G35" s="23" t="s">
        <v>54</v>
      </c>
      <c r="H35" s="23" t="s">
        <v>94</v>
      </c>
      <c r="I35" s="23" t="s">
        <v>56</v>
      </c>
      <c r="J35" s="44">
        <v>4</v>
      </c>
      <c r="K35" s="45"/>
      <c r="L35" s="25"/>
      <c r="M35" s="25"/>
      <c r="N35" s="26">
        <f t="shared" si="8"/>
        <v>0</v>
      </c>
      <c r="O35" s="26"/>
      <c r="P35" s="26"/>
      <c r="Q35" s="26"/>
      <c r="R35" s="26">
        <f t="shared" si="9"/>
        <v>0</v>
      </c>
      <c r="S35" s="45"/>
      <c r="T35" s="28">
        <f t="shared" si="10"/>
        <v>0</v>
      </c>
      <c r="U35" s="46"/>
      <c r="V35" s="28">
        <f t="shared" si="11"/>
        <v>0</v>
      </c>
      <c r="W35" s="25"/>
      <c r="X35" s="28">
        <f t="shared" si="12"/>
        <v>0</v>
      </c>
      <c r="Y35" s="5"/>
      <c r="Z35" s="5"/>
      <c r="AA35" s="5"/>
    </row>
    <row r="36" spans="1:27" ht="54" hidden="1" customHeight="1">
      <c r="A36" s="22" t="s">
        <v>87</v>
      </c>
      <c r="B36" s="23" t="s">
        <v>88</v>
      </c>
      <c r="C36" s="23" t="s">
        <v>50</v>
      </c>
      <c r="D36" s="23" t="s">
        <v>96</v>
      </c>
      <c r="E36" s="33" t="s">
        <v>90</v>
      </c>
      <c r="F36" s="23" t="s">
        <v>91</v>
      </c>
      <c r="G36" s="23" t="s">
        <v>54</v>
      </c>
      <c r="H36" s="23" t="s">
        <v>92</v>
      </c>
      <c r="I36" s="23" t="s">
        <v>56</v>
      </c>
      <c r="J36" s="24">
        <v>3</v>
      </c>
      <c r="K36" s="45"/>
      <c r="L36" s="25"/>
      <c r="M36" s="25"/>
      <c r="N36" s="26">
        <f t="shared" si="8"/>
        <v>0</v>
      </c>
      <c r="O36" s="26"/>
      <c r="P36" s="26"/>
      <c r="Q36" s="26"/>
      <c r="R36" s="26">
        <f t="shared" si="9"/>
        <v>0</v>
      </c>
      <c r="S36" s="45"/>
      <c r="T36" s="28">
        <f t="shared" si="10"/>
        <v>0</v>
      </c>
      <c r="U36" s="29"/>
      <c r="V36" s="28">
        <f t="shared" si="11"/>
        <v>0</v>
      </c>
      <c r="W36" s="25"/>
      <c r="X36" s="28">
        <f t="shared" si="12"/>
        <v>0</v>
      </c>
      <c r="Y36" s="5"/>
      <c r="Z36" s="5"/>
      <c r="AA36" s="5"/>
    </row>
    <row r="37" spans="1:27" ht="54" hidden="1" customHeight="1">
      <c r="A37" s="47" t="s">
        <v>87</v>
      </c>
      <c r="B37" s="23" t="s">
        <v>88</v>
      </c>
      <c r="C37" s="48" t="s">
        <v>50</v>
      </c>
      <c r="D37" s="48" t="s">
        <v>96</v>
      </c>
      <c r="E37" s="33" t="s">
        <v>90</v>
      </c>
      <c r="F37" s="23" t="s">
        <v>91</v>
      </c>
      <c r="G37" s="48" t="s">
        <v>54</v>
      </c>
      <c r="H37" s="48" t="s">
        <v>94</v>
      </c>
      <c r="I37" s="23" t="s">
        <v>56</v>
      </c>
      <c r="J37" s="49">
        <v>4</v>
      </c>
      <c r="K37" s="45"/>
      <c r="L37" s="50"/>
      <c r="M37" s="50"/>
      <c r="N37" s="26">
        <f t="shared" si="8"/>
        <v>0</v>
      </c>
      <c r="O37" s="51"/>
      <c r="P37" s="51"/>
      <c r="Q37" s="51"/>
      <c r="R37" s="26">
        <f t="shared" si="9"/>
        <v>0</v>
      </c>
      <c r="S37" s="52"/>
      <c r="T37" s="28">
        <f t="shared" si="10"/>
        <v>0</v>
      </c>
      <c r="U37" s="53"/>
      <c r="V37" s="28">
        <f t="shared" si="11"/>
        <v>0</v>
      </c>
      <c r="W37" s="50"/>
      <c r="X37" s="28">
        <f t="shared" si="12"/>
        <v>0</v>
      </c>
      <c r="Y37" s="5"/>
      <c r="Z37" s="5"/>
      <c r="AA37" s="5"/>
    </row>
    <row r="38" spans="1:27" ht="54" customHeight="1">
      <c r="A38" s="22" t="s">
        <v>87</v>
      </c>
      <c r="B38" s="23" t="s">
        <v>88</v>
      </c>
      <c r="C38" s="23" t="s">
        <v>50</v>
      </c>
      <c r="D38" s="23" t="s">
        <v>97</v>
      </c>
      <c r="E38" s="33" t="s">
        <v>90</v>
      </c>
      <c r="F38" s="23" t="s">
        <v>91</v>
      </c>
      <c r="G38" s="23" t="s">
        <v>54</v>
      </c>
      <c r="H38" s="23" t="s">
        <v>92</v>
      </c>
      <c r="I38" s="23" t="s">
        <v>56</v>
      </c>
      <c r="J38" s="24">
        <v>3</v>
      </c>
      <c r="K38" s="34">
        <v>0</v>
      </c>
      <c r="L38" s="25">
        <v>861515.9</v>
      </c>
      <c r="M38" s="25">
        <v>0</v>
      </c>
      <c r="N38" s="26">
        <f t="shared" si="8"/>
        <v>861515.9</v>
      </c>
      <c r="O38" s="27"/>
      <c r="P38" s="27"/>
      <c r="Q38" s="27"/>
      <c r="R38" s="26">
        <f t="shared" si="9"/>
        <v>861515.9</v>
      </c>
      <c r="S38" s="37">
        <v>0</v>
      </c>
      <c r="T38" s="28">
        <f t="shared" si="10"/>
        <v>0</v>
      </c>
      <c r="U38" s="29">
        <v>0</v>
      </c>
      <c r="V38" s="28">
        <f t="shared" si="11"/>
        <v>0</v>
      </c>
      <c r="W38" s="25">
        <v>0</v>
      </c>
      <c r="X38" s="28">
        <f t="shared" si="12"/>
        <v>0</v>
      </c>
      <c r="Y38" s="5"/>
      <c r="Z38" s="5"/>
      <c r="AA38" s="5"/>
    </row>
    <row r="39" spans="1:27" ht="54" hidden="1" customHeight="1">
      <c r="A39" s="22" t="s">
        <v>87</v>
      </c>
      <c r="B39" s="23" t="s">
        <v>88</v>
      </c>
      <c r="C39" s="23" t="s">
        <v>50</v>
      </c>
      <c r="D39" s="23" t="s">
        <v>97</v>
      </c>
      <c r="E39" s="33" t="s">
        <v>90</v>
      </c>
      <c r="F39" s="23" t="s">
        <v>91</v>
      </c>
      <c r="G39" s="23" t="s">
        <v>54</v>
      </c>
      <c r="H39" s="23" t="s">
        <v>92</v>
      </c>
      <c r="I39" s="23" t="s">
        <v>56</v>
      </c>
      <c r="J39" s="44">
        <v>4</v>
      </c>
      <c r="K39" s="34">
        <v>0</v>
      </c>
      <c r="L39" s="25">
        <v>0</v>
      </c>
      <c r="M39" s="25">
        <v>0</v>
      </c>
      <c r="N39" s="26">
        <f t="shared" si="8"/>
        <v>0</v>
      </c>
      <c r="O39" s="27"/>
      <c r="P39" s="27"/>
      <c r="Q39" s="27"/>
      <c r="R39" s="26">
        <f t="shared" si="9"/>
        <v>0</v>
      </c>
      <c r="S39" s="37">
        <v>0</v>
      </c>
      <c r="T39" s="28">
        <f t="shared" si="10"/>
        <v>0</v>
      </c>
      <c r="U39" s="46">
        <v>0</v>
      </c>
      <c r="V39" s="28">
        <f t="shared" si="11"/>
        <v>0</v>
      </c>
      <c r="W39" s="25">
        <v>0</v>
      </c>
      <c r="X39" s="28">
        <f t="shared" si="12"/>
        <v>0</v>
      </c>
      <c r="Y39" s="5"/>
      <c r="Z39" s="5"/>
      <c r="AA39" s="5"/>
    </row>
    <row r="40" spans="1:27" ht="54" hidden="1" customHeight="1">
      <c r="A40" s="22" t="s">
        <v>87</v>
      </c>
      <c r="B40" s="23" t="s">
        <v>88</v>
      </c>
      <c r="C40" s="23" t="s">
        <v>50</v>
      </c>
      <c r="D40" s="23" t="s">
        <v>97</v>
      </c>
      <c r="E40" s="33" t="s">
        <v>90</v>
      </c>
      <c r="F40" s="23" t="s">
        <v>91</v>
      </c>
      <c r="G40" s="23" t="s">
        <v>54</v>
      </c>
      <c r="H40" s="23" t="s">
        <v>94</v>
      </c>
      <c r="I40" s="23" t="s">
        <v>56</v>
      </c>
      <c r="J40" s="24">
        <v>3</v>
      </c>
      <c r="K40" s="34"/>
      <c r="L40" s="25"/>
      <c r="M40" s="25"/>
      <c r="N40" s="26">
        <f t="shared" si="8"/>
        <v>0</v>
      </c>
      <c r="O40" s="27"/>
      <c r="P40" s="27"/>
      <c r="Q40" s="27"/>
      <c r="R40" s="26">
        <f t="shared" si="9"/>
        <v>0</v>
      </c>
      <c r="S40" s="37">
        <v>0</v>
      </c>
      <c r="T40" s="28">
        <f t="shared" si="10"/>
        <v>0</v>
      </c>
      <c r="U40" s="29">
        <v>0</v>
      </c>
      <c r="V40" s="28">
        <f t="shared" si="11"/>
        <v>0</v>
      </c>
      <c r="W40" s="25">
        <v>0</v>
      </c>
      <c r="X40" s="28">
        <f t="shared" si="12"/>
        <v>0</v>
      </c>
      <c r="Y40" s="5"/>
      <c r="Z40" s="5"/>
      <c r="AA40" s="5"/>
    </row>
    <row r="41" spans="1:27" ht="54" customHeight="1">
      <c r="A41" s="22" t="s">
        <v>87</v>
      </c>
      <c r="B41" s="23" t="s">
        <v>88</v>
      </c>
      <c r="C41" s="23" t="s">
        <v>50</v>
      </c>
      <c r="D41" s="23" t="s">
        <v>98</v>
      </c>
      <c r="E41" s="33" t="s">
        <v>90</v>
      </c>
      <c r="F41" s="23" t="s">
        <v>99</v>
      </c>
      <c r="G41" s="23" t="s">
        <v>54</v>
      </c>
      <c r="H41" s="23" t="s">
        <v>92</v>
      </c>
      <c r="I41" s="23" t="s">
        <v>56</v>
      </c>
      <c r="J41" s="44">
        <v>4</v>
      </c>
      <c r="K41" s="34">
        <v>3000000</v>
      </c>
      <c r="L41" s="25">
        <v>0</v>
      </c>
      <c r="M41" s="25">
        <v>0</v>
      </c>
      <c r="N41" s="26">
        <f t="shared" si="8"/>
        <v>3000000</v>
      </c>
      <c r="O41" s="27"/>
      <c r="P41" s="27"/>
      <c r="Q41" s="27"/>
      <c r="R41" s="26">
        <f t="shared" si="9"/>
        <v>3000000</v>
      </c>
      <c r="S41" s="37">
        <v>0</v>
      </c>
      <c r="T41" s="28">
        <f t="shared" si="10"/>
        <v>0</v>
      </c>
      <c r="U41" s="46">
        <v>0</v>
      </c>
      <c r="V41" s="28">
        <f t="shared" si="11"/>
        <v>0</v>
      </c>
      <c r="W41" s="35">
        <v>0</v>
      </c>
      <c r="X41" s="28">
        <f t="shared" si="12"/>
        <v>0</v>
      </c>
      <c r="Y41" s="5"/>
      <c r="Z41" s="5"/>
      <c r="AA41" s="5"/>
    </row>
    <row r="42" spans="1:27" ht="54" customHeight="1">
      <c r="A42" s="22" t="s">
        <v>87</v>
      </c>
      <c r="B42" s="23" t="s">
        <v>88</v>
      </c>
      <c r="C42" s="23" t="s">
        <v>50</v>
      </c>
      <c r="D42" s="23" t="s">
        <v>100</v>
      </c>
      <c r="E42" s="33" t="s">
        <v>90</v>
      </c>
      <c r="F42" s="23" t="s">
        <v>101</v>
      </c>
      <c r="G42" s="23" t="s">
        <v>54</v>
      </c>
      <c r="H42" s="23" t="s">
        <v>92</v>
      </c>
      <c r="I42" s="23" t="s">
        <v>56</v>
      </c>
      <c r="J42" s="44">
        <v>4</v>
      </c>
      <c r="K42" s="34">
        <v>50000</v>
      </c>
      <c r="L42" s="25">
        <v>0</v>
      </c>
      <c r="M42" s="25">
        <v>0</v>
      </c>
      <c r="N42" s="26">
        <f t="shared" si="8"/>
        <v>50000</v>
      </c>
      <c r="O42" s="26"/>
      <c r="P42" s="26"/>
      <c r="Q42" s="26"/>
      <c r="R42" s="26">
        <f t="shared" si="9"/>
        <v>50000</v>
      </c>
      <c r="S42" s="34">
        <v>0</v>
      </c>
      <c r="T42" s="28">
        <f t="shared" si="10"/>
        <v>0</v>
      </c>
      <c r="U42" s="46">
        <v>0</v>
      </c>
      <c r="V42" s="28">
        <f t="shared" si="11"/>
        <v>0</v>
      </c>
      <c r="W42" s="25">
        <v>0</v>
      </c>
      <c r="X42" s="28">
        <f t="shared" si="12"/>
        <v>0</v>
      </c>
      <c r="Y42" s="5"/>
      <c r="Z42" s="5"/>
      <c r="AA42" s="5"/>
    </row>
    <row r="43" spans="1:27" ht="54" customHeight="1">
      <c r="A43" s="22" t="s">
        <v>87</v>
      </c>
      <c r="B43" s="23" t="s">
        <v>88</v>
      </c>
      <c r="C43" s="23" t="s">
        <v>50</v>
      </c>
      <c r="D43" s="23" t="s">
        <v>51</v>
      </c>
      <c r="E43" s="33" t="s">
        <v>90</v>
      </c>
      <c r="F43" s="23" t="s">
        <v>102</v>
      </c>
      <c r="G43" s="23" t="s">
        <v>54</v>
      </c>
      <c r="H43" s="23" t="s">
        <v>92</v>
      </c>
      <c r="I43" s="23" t="s">
        <v>56</v>
      </c>
      <c r="J43" s="24">
        <v>3</v>
      </c>
      <c r="K43" s="34">
        <f>44253337-K44</f>
        <v>43753337</v>
      </c>
      <c r="L43" s="25">
        <f>862193.4</f>
        <v>862193.4</v>
      </c>
      <c r="M43" s="25">
        <f>4326709.3</f>
        <v>4326709.3</v>
      </c>
      <c r="N43" s="26">
        <f t="shared" si="8"/>
        <v>40288821.100000001</v>
      </c>
      <c r="O43" s="26"/>
      <c r="P43" s="26"/>
      <c r="Q43" s="26"/>
      <c r="R43" s="26">
        <f t="shared" si="9"/>
        <v>40288821.100000001</v>
      </c>
      <c r="S43" s="34">
        <f>21607477.04-S44</f>
        <v>21597277.039999999</v>
      </c>
      <c r="T43" s="28">
        <f t="shared" si="10"/>
        <v>0.53606128078043958</v>
      </c>
      <c r="U43" s="29">
        <v>573483.19999999995</v>
      </c>
      <c r="V43" s="28">
        <f t="shared" si="11"/>
        <v>1.4234300839346226E-2</v>
      </c>
      <c r="W43" s="25">
        <v>0</v>
      </c>
      <c r="X43" s="28">
        <f t="shared" si="12"/>
        <v>0</v>
      </c>
      <c r="Y43" s="5"/>
      <c r="Z43" s="5"/>
      <c r="AA43" s="5"/>
    </row>
    <row r="44" spans="1:27" ht="54" customHeight="1">
      <c r="A44" s="22" t="s">
        <v>87</v>
      </c>
      <c r="B44" s="23" t="s">
        <v>88</v>
      </c>
      <c r="C44" s="23" t="s">
        <v>50</v>
      </c>
      <c r="D44" s="23" t="s">
        <v>51</v>
      </c>
      <c r="E44" s="33" t="s">
        <v>90</v>
      </c>
      <c r="F44" s="23" t="s">
        <v>102</v>
      </c>
      <c r="G44" s="23" t="s">
        <v>54</v>
      </c>
      <c r="H44" s="23" t="s">
        <v>92</v>
      </c>
      <c r="I44" s="23" t="s">
        <v>56</v>
      </c>
      <c r="J44" s="44">
        <v>4</v>
      </c>
      <c r="K44" s="34">
        <f>500000</f>
        <v>500000</v>
      </c>
      <c r="L44" s="25">
        <v>0</v>
      </c>
      <c r="M44" s="25">
        <v>0</v>
      </c>
      <c r="N44" s="26">
        <f t="shared" si="8"/>
        <v>500000</v>
      </c>
      <c r="O44" s="26"/>
      <c r="P44" s="26"/>
      <c r="Q44" s="26"/>
      <c r="R44" s="26">
        <f t="shared" si="9"/>
        <v>500000</v>
      </c>
      <c r="S44" s="25">
        <v>10200</v>
      </c>
      <c r="T44" s="28">
        <f t="shared" si="10"/>
        <v>2.0400000000000001E-2</v>
      </c>
      <c r="U44" s="46">
        <v>0</v>
      </c>
      <c r="V44" s="28">
        <f t="shared" si="11"/>
        <v>0</v>
      </c>
      <c r="W44" s="25">
        <v>0</v>
      </c>
      <c r="X44" s="28">
        <f t="shared" si="12"/>
        <v>0</v>
      </c>
      <c r="Y44" s="5"/>
      <c r="Z44" s="5"/>
      <c r="AA44" s="5"/>
    </row>
    <row r="45" spans="1:27" ht="54" hidden="1" customHeight="1">
      <c r="A45" s="22" t="s">
        <v>87</v>
      </c>
      <c r="B45" s="33" t="s">
        <v>88</v>
      </c>
      <c r="C45" s="33" t="s">
        <v>50</v>
      </c>
      <c r="D45" s="33" t="s">
        <v>51</v>
      </c>
      <c r="E45" s="33" t="s">
        <v>90</v>
      </c>
      <c r="F45" s="23" t="s">
        <v>102</v>
      </c>
      <c r="G45" s="33" t="s">
        <v>54</v>
      </c>
      <c r="H45" s="33" t="s">
        <v>94</v>
      </c>
      <c r="I45" s="33" t="s">
        <v>56</v>
      </c>
      <c r="J45" s="24">
        <v>3</v>
      </c>
      <c r="K45" s="34">
        <v>0</v>
      </c>
      <c r="L45" s="35">
        <v>0</v>
      </c>
      <c r="M45" s="35">
        <v>0</v>
      </c>
      <c r="N45" s="36">
        <f t="shared" si="8"/>
        <v>0</v>
      </c>
      <c r="O45" s="36"/>
      <c r="P45" s="36"/>
      <c r="Q45" s="36"/>
      <c r="R45" s="36">
        <f t="shared" si="9"/>
        <v>0</v>
      </c>
      <c r="S45" s="35">
        <v>0</v>
      </c>
      <c r="T45" s="38">
        <f t="shared" si="10"/>
        <v>0</v>
      </c>
      <c r="U45" s="54">
        <v>0</v>
      </c>
      <c r="V45" s="38">
        <f t="shared" si="11"/>
        <v>0</v>
      </c>
      <c r="W45" s="35">
        <v>0</v>
      </c>
      <c r="X45" s="38">
        <f t="shared" si="12"/>
        <v>0</v>
      </c>
      <c r="Y45" s="5"/>
      <c r="Z45" s="5"/>
      <c r="AA45" s="5"/>
    </row>
    <row r="46" spans="1:27" ht="54" customHeight="1">
      <c r="A46" s="22" t="s">
        <v>87</v>
      </c>
      <c r="B46" s="33" t="s">
        <v>88</v>
      </c>
      <c r="C46" s="33" t="s">
        <v>50</v>
      </c>
      <c r="D46" s="33" t="s">
        <v>57</v>
      </c>
      <c r="E46" s="33" t="s">
        <v>90</v>
      </c>
      <c r="F46" s="33" t="s">
        <v>103</v>
      </c>
      <c r="G46" s="33" t="s">
        <v>54</v>
      </c>
      <c r="H46" s="33" t="s">
        <v>92</v>
      </c>
      <c r="I46" s="33" t="s">
        <v>56</v>
      </c>
      <c r="J46" s="24">
        <v>3</v>
      </c>
      <c r="K46" s="34">
        <v>65000</v>
      </c>
      <c r="L46" s="35">
        <v>0</v>
      </c>
      <c r="M46" s="35">
        <v>0</v>
      </c>
      <c r="N46" s="36">
        <f t="shared" si="8"/>
        <v>65000</v>
      </c>
      <c r="O46" s="36"/>
      <c r="P46" s="36"/>
      <c r="Q46" s="36"/>
      <c r="R46" s="36">
        <f t="shared" si="9"/>
        <v>65000</v>
      </c>
      <c r="S46" s="35">
        <v>0</v>
      </c>
      <c r="T46" s="38">
        <f t="shared" si="10"/>
        <v>0</v>
      </c>
      <c r="U46" s="54">
        <v>0</v>
      </c>
      <c r="V46" s="38">
        <f t="shared" si="11"/>
        <v>0</v>
      </c>
      <c r="W46" s="35">
        <v>0</v>
      </c>
      <c r="X46" s="38">
        <f t="shared" si="12"/>
        <v>0</v>
      </c>
      <c r="Y46" s="5"/>
      <c r="Z46" s="5"/>
      <c r="AA46" s="5"/>
    </row>
    <row r="47" spans="1:27" ht="54" hidden="1" customHeight="1">
      <c r="A47" s="22" t="s">
        <v>87</v>
      </c>
      <c r="B47" s="33" t="s">
        <v>88</v>
      </c>
      <c r="C47" s="33" t="s">
        <v>50</v>
      </c>
      <c r="D47" s="33" t="s">
        <v>57</v>
      </c>
      <c r="E47" s="33" t="s">
        <v>104</v>
      </c>
      <c r="F47" s="33" t="s">
        <v>103</v>
      </c>
      <c r="G47" s="33" t="s">
        <v>54</v>
      </c>
      <c r="H47" s="33" t="s">
        <v>94</v>
      </c>
      <c r="I47" s="33" t="s">
        <v>63</v>
      </c>
      <c r="J47" s="24">
        <v>3</v>
      </c>
      <c r="K47" s="34">
        <v>0</v>
      </c>
      <c r="L47" s="35">
        <v>0</v>
      </c>
      <c r="M47" s="35">
        <v>0</v>
      </c>
      <c r="N47" s="36">
        <f t="shared" si="8"/>
        <v>0</v>
      </c>
      <c r="O47" s="36"/>
      <c r="P47" s="36"/>
      <c r="Q47" s="36"/>
      <c r="R47" s="36">
        <f t="shared" si="9"/>
        <v>0</v>
      </c>
      <c r="S47" s="37">
        <v>0</v>
      </c>
      <c r="T47" s="38">
        <f t="shared" si="10"/>
        <v>0</v>
      </c>
      <c r="U47" s="54">
        <v>0</v>
      </c>
      <c r="V47" s="38">
        <f t="shared" si="11"/>
        <v>0</v>
      </c>
      <c r="W47" s="35">
        <v>0</v>
      </c>
      <c r="X47" s="38">
        <f t="shared" si="12"/>
        <v>0</v>
      </c>
      <c r="Y47" s="5"/>
      <c r="Z47" s="5"/>
      <c r="AA47" s="5"/>
    </row>
    <row r="48" spans="1:27" ht="54" customHeight="1">
      <c r="A48" s="22" t="s">
        <v>87</v>
      </c>
      <c r="B48" s="33" t="s">
        <v>88</v>
      </c>
      <c r="C48" s="33" t="s">
        <v>50</v>
      </c>
      <c r="D48" s="33" t="s">
        <v>105</v>
      </c>
      <c r="E48" s="33" t="s">
        <v>104</v>
      </c>
      <c r="F48" s="33" t="s">
        <v>106</v>
      </c>
      <c r="G48" s="33" t="s">
        <v>54</v>
      </c>
      <c r="H48" s="33" t="s">
        <v>92</v>
      </c>
      <c r="I48" s="33" t="s">
        <v>63</v>
      </c>
      <c r="J48" s="44">
        <v>4</v>
      </c>
      <c r="K48" s="34">
        <v>800000</v>
      </c>
      <c r="L48" s="35">
        <v>0</v>
      </c>
      <c r="M48" s="35">
        <v>0</v>
      </c>
      <c r="N48" s="36">
        <f t="shared" si="8"/>
        <v>800000</v>
      </c>
      <c r="O48" s="36"/>
      <c r="P48" s="36"/>
      <c r="Q48" s="36"/>
      <c r="R48" s="36">
        <f t="shared" si="9"/>
        <v>800000</v>
      </c>
      <c r="S48" s="37">
        <v>0</v>
      </c>
      <c r="T48" s="38">
        <f t="shared" si="10"/>
        <v>0</v>
      </c>
      <c r="U48" s="46">
        <v>0</v>
      </c>
      <c r="V48" s="38">
        <f t="shared" si="11"/>
        <v>0</v>
      </c>
      <c r="W48" s="35">
        <v>0</v>
      </c>
      <c r="X48" s="38">
        <f t="shared" si="12"/>
        <v>0</v>
      </c>
      <c r="Y48" s="5"/>
      <c r="Z48" s="5"/>
      <c r="AA48" s="5"/>
    </row>
    <row r="49" spans="1:27" ht="54" customHeight="1">
      <c r="A49" s="22" t="s">
        <v>87</v>
      </c>
      <c r="B49" s="33" t="s">
        <v>88</v>
      </c>
      <c r="C49" s="33" t="s">
        <v>50</v>
      </c>
      <c r="D49" s="33" t="s">
        <v>107</v>
      </c>
      <c r="E49" s="33" t="s">
        <v>104</v>
      </c>
      <c r="F49" s="33" t="s">
        <v>108</v>
      </c>
      <c r="G49" s="33" t="s">
        <v>54</v>
      </c>
      <c r="H49" s="33" t="s">
        <v>92</v>
      </c>
      <c r="I49" s="33" t="s">
        <v>63</v>
      </c>
      <c r="J49" s="44">
        <v>4</v>
      </c>
      <c r="K49" s="34">
        <v>50000</v>
      </c>
      <c r="L49" s="35">
        <v>0</v>
      </c>
      <c r="M49" s="35">
        <v>0</v>
      </c>
      <c r="N49" s="36">
        <f t="shared" si="8"/>
        <v>50000</v>
      </c>
      <c r="O49" s="36"/>
      <c r="P49" s="36"/>
      <c r="Q49" s="36"/>
      <c r="R49" s="36">
        <f t="shared" si="9"/>
        <v>50000</v>
      </c>
      <c r="S49" s="37">
        <v>0</v>
      </c>
      <c r="T49" s="38">
        <f t="shared" si="10"/>
        <v>0</v>
      </c>
      <c r="U49" s="46">
        <v>0</v>
      </c>
      <c r="V49" s="38">
        <f t="shared" si="11"/>
        <v>0</v>
      </c>
      <c r="W49" s="35">
        <v>0</v>
      </c>
      <c r="X49" s="38">
        <f t="shared" si="12"/>
        <v>0</v>
      </c>
      <c r="Y49" s="5"/>
      <c r="Z49" s="5"/>
      <c r="AA49" s="5"/>
    </row>
    <row r="50" spans="1:27" ht="54" hidden="1" customHeight="1">
      <c r="A50" s="22" t="s">
        <v>87</v>
      </c>
      <c r="B50" s="33" t="s">
        <v>88</v>
      </c>
      <c r="C50" s="33" t="s">
        <v>50</v>
      </c>
      <c r="D50" s="33" t="s">
        <v>109</v>
      </c>
      <c r="E50" s="33" t="s">
        <v>104</v>
      </c>
      <c r="F50" s="33" t="s">
        <v>110</v>
      </c>
      <c r="G50" s="33" t="s">
        <v>54</v>
      </c>
      <c r="H50" s="33" t="s">
        <v>94</v>
      </c>
      <c r="I50" s="33" t="s">
        <v>63</v>
      </c>
      <c r="J50" s="24">
        <v>3</v>
      </c>
      <c r="K50" s="34"/>
      <c r="L50" s="35"/>
      <c r="M50" s="35"/>
      <c r="N50" s="36">
        <f t="shared" si="8"/>
        <v>0</v>
      </c>
      <c r="O50" s="36"/>
      <c r="P50" s="36"/>
      <c r="Q50" s="36"/>
      <c r="R50" s="36">
        <f t="shared" si="9"/>
        <v>0</v>
      </c>
      <c r="S50" s="37"/>
      <c r="T50" s="38">
        <f t="shared" si="10"/>
        <v>0</v>
      </c>
      <c r="U50" s="29"/>
      <c r="V50" s="38">
        <f t="shared" si="11"/>
        <v>0</v>
      </c>
      <c r="W50" s="35"/>
      <c r="X50" s="38">
        <f t="shared" si="12"/>
        <v>0</v>
      </c>
      <c r="Y50" s="5"/>
      <c r="Z50" s="5"/>
      <c r="AA50" s="5"/>
    </row>
    <row r="51" spans="1:27" ht="54" customHeight="1">
      <c r="A51" s="22" t="s">
        <v>87</v>
      </c>
      <c r="B51" s="33" t="s">
        <v>88</v>
      </c>
      <c r="C51" s="33" t="s">
        <v>50</v>
      </c>
      <c r="D51" s="33" t="s">
        <v>111</v>
      </c>
      <c r="E51" s="33" t="s">
        <v>104</v>
      </c>
      <c r="F51" s="33" t="s">
        <v>110</v>
      </c>
      <c r="G51" s="33" t="s">
        <v>54</v>
      </c>
      <c r="H51" s="33" t="s">
        <v>92</v>
      </c>
      <c r="I51" s="33" t="s">
        <v>63</v>
      </c>
      <c r="J51" s="44">
        <v>4</v>
      </c>
      <c r="K51" s="34">
        <v>200000</v>
      </c>
      <c r="L51" s="35">
        <v>0</v>
      </c>
      <c r="M51" s="35">
        <v>0</v>
      </c>
      <c r="N51" s="36">
        <f t="shared" si="8"/>
        <v>200000</v>
      </c>
      <c r="O51" s="36"/>
      <c r="P51" s="36"/>
      <c r="Q51" s="36"/>
      <c r="R51" s="36">
        <f t="shared" si="9"/>
        <v>200000</v>
      </c>
      <c r="S51" s="37">
        <v>200000</v>
      </c>
      <c r="T51" s="38">
        <f t="shared" si="10"/>
        <v>1</v>
      </c>
      <c r="U51" s="46">
        <v>0</v>
      </c>
      <c r="V51" s="38">
        <f t="shared" si="11"/>
        <v>0</v>
      </c>
      <c r="W51" s="35">
        <v>0</v>
      </c>
      <c r="X51" s="38">
        <f t="shared" si="12"/>
        <v>0</v>
      </c>
      <c r="Y51" s="5"/>
      <c r="Z51" s="5"/>
      <c r="AA51" s="5"/>
    </row>
    <row r="52" spans="1:27" ht="54" customHeight="1">
      <c r="A52" s="22" t="s">
        <v>87</v>
      </c>
      <c r="B52" s="33" t="s">
        <v>88</v>
      </c>
      <c r="C52" s="33" t="s">
        <v>50</v>
      </c>
      <c r="D52" s="33" t="s">
        <v>61</v>
      </c>
      <c r="E52" s="33" t="s">
        <v>104</v>
      </c>
      <c r="F52" s="33" t="s">
        <v>62</v>
      </c>
      <c r="G52" s="33" t="s">
        <v>54</v>
      </c>
      <c r="H52" s="33" t="s">
        <v>112</v>
      </c>
      <c r="I52" s="33" t="s">
        <v>63</v>
      </c>
      <c r="J52" s="24">
        <v>3</v>
      </c>
      <c r="K52" s="34">
        <v>300000</v>
      </c>
      <c r="L52" s="35">
        <v>10000</v>
      </c>
      <c r="M52" s="35">
        <v>10000</v>
      </c>
      <c r="N52" s="36">
        <f t="shared" si="8"/>
        <v>300000</v>
      </c>
      <c r="O52" s="36"/>
      <c r="P52" s="36"/>
      <c r="Q52" s="36"/>
      <c r="R52" s="36">
        <f t="shared" si="9"/>
        <v>300000</v>
      </c>
      <c r="S52" s="37">
        <v>0</v>
      </c>
      <c r="T52" s="38">
        <f t="shared" si="10"/>
        <v>0</v>
      </c>
      <c r="U52" s="54">
        <v>0</v>
      </c>
      <c r="V52" s="38">
        <f t="shared" si="11"/>
        <v>0</v>
      </c>
      <c r="W52" s="35">
        <v>0</v>
      </c>
      <c r="X52" s="38">
        <f t="shared" si="12"/>
        <v>0</v>
      </c>
      <c r="Y52" s="5"/>
      <c r="Z52" s="5"/>
      <c r="AA52" s="5"/>
    </row>
    <row r="53" spans="1:27" ht="54" customHeight="1">
      <c r="A53" s="22" t="s">
        <v>87</v>
      </c>
      <c r="B53" s="23" t="s">
        <v>88</v>
      </c>
      <c r="C53" s="23" t="s">
        <v>50</v>
      </c>
      <c r="D53" s="23" t="s">
        <v>64</v>
      </c>
      <c r="E53" s="33" t="s">
        <v>104</v>
      </c>
      <c r="F53" s="33" t="s">
        <v>66</v>
      </c>
      <c r="G53" s="23" t="s">
        <v>54</v>
      </c>
      <c r="H53" s="23" t="s">
        <v>92</v>
      </c>
      <c r="I53" s="23" t="s">
        <v>63</v>
      </c>
      <c r="J53" s="24">
        <v>3</v>
      </c>
      <c r="K53" s="34">
        <v>20000</v>
      </c>
      <c r="L53" s="25">
        <v>0</v>
      </c>
      <c r="M53" s="25">
        <v>0</v>
      </c>
      <c r="N53" s="26">
        <f t="shared" si="8"/>
        <v>20000</v>
      </c>
      <c r="O53" s="26"/>
      <c r="P53" s="26"/>
      <c r="Q53" s="26"/>
      <c r="R53" s="26">
        <f t="shared" si="9"/>
        <v>20000</v>
      </c>
      <c r="S53" s="37">
        <v>0</v>
      </c>
      <c r="T53" s="28">
        <f t="shared" si="10"/>
        <v>0</v>
      </c>
      <c r="U53" s="29">
        <v>0</v>
      </c>
      <c r="V53" s="28">
        <f t="shared" si="11"/>
        <v>0</v>
      </c>
      <c r="W53" s="25">
        <v>0</v>
      </c>
      <c r="X53" s="28">
        <f t="shared" si="12"/>
        <v>0</v>
      </c>
      <c r="Y53" s="5"/>
      <c r="Z53" s="5"/>
      <c r="AA53" s="5"/>
    </row>
    <row r="54" spans="1:27" ht="54" hidden="1" customHeight="1">
      <c r="A54" s="22" t="s">
        <v>87</v>
      </c>
      <c r="B54" s="23" t="s">
        <v>88</v>
      </c>
      <c r="C54" s="23" t="s">
        <v>50</v>
      </c>
      <c r="D54" s="23" t="s">
        <v>64</v>
      </c>
      <c r="E54" s="33" t="s">
        <v>104</v>
      </c>
      <c r="F54" s="33" t="s">
        <v>66</v>
      </c>
      <c r="G54" s="23" t="s">
        <v>54</v>
      </c>
      <c r="H54" s="23" t="s">
        <v>94</v>
      </c>
      <c r="I54" s="23" t="s">
        <v>63</v>
      </c>
      <c r="J54" s="24">
        <v>3</v>
      </c>
      <c r="K54" s="34"/>
      <c r="L54" s="25"/>
      <c r="M54" s="25"/>
      <c r="N54" s="26">
        <f t="shared" si="8"/>
        <v>0</v>
      </c>
      <c r="O54" s="26"/>
      <c r="P54" s="26"/>
      <c r="Q54" s="26"/>
      <c r="R54" s="26">
        <f t="shared" si="9"/>
        <v>0</v>
      </c>
      <c r="S54" s="37"/>
      <c r="T54" s="28">
        <f t="shared" si="10"/>
        <v>0</v>
      </c>
      <c r="U54" s="29"/>
      <c r="V54" s="28">
        <f t="shared" si="11"/>
        <v>0</v>
      </c>
      <c r="W54" s="25"/>
      <c r="X54" s="28">
        <f t="shared" si="12"/>
        <v>0</v>
      </c>
      <c r="Y54" s="5"/>
      <c r="Z54" s="5"/>
      <c r="AA54" s="5"/>
    </row>
    <row r="55" spans="1:27" ht="54" customHeight="1">
      <c r="A55" s="22" t="s">
        <v>87</v>
      </c>
      <c r="B55" s="23" t="s">
        <v>88</v>
      </c>
      <c r="C55" s="23" t="s">
        <v>50</v>
      </c>
      <c r="D55" s="23" t="s">
        <v>113</v>
      </c>
      <c r="E55" s="33" t="s">
        <v>104</v>
      </c>
      <c r="F55" s="33" t="s">
        <v>114</v>
      </c>
      <c r="G55" s="23" t="s">
        <v>54</v>
      </c>
      <c r="H55" s="23" t="s">
        <v>92</v>
      </c>
      <c r="I55" s="23" t="s">
        <v>63</v>
      </c>
      <c r="J55" s="24">
        <v>3</v>
      </c>
      <c r="K55" s="34">
        <f>9026663-K56</f>
        <v>8826663</v>
      </c>
      <c r="L55" s="25">
        <f>3254316.81-L56</f>
        <v>2694696.81</v>
      </c>
      <c r="M55" s="25">
        <f>91696.81</f>
        <v>91696.81</v>
      </c>
      <c r="N55" s="26">
        <f t="shared" si="8"/>
        <v>11429663</v>
      </c>
      <c r="O55" s="26"/>
      <c r="P55" s="26"/>
      <c r="Q55" s="26"/>
      <c r="R55" s="26">
        <f t="shared" si="9"/>
        <v>11429663</v>
      </c>
      <c r="S55" s="25">
        <f>6983045.19</f>
        <v>6983045.1900000004</v>
      </c>
      <c r="T55" s="28">
        <f t="shared" si="10"/>
        <v>0.61095809998947481</v>
      </c>
      <c r="U55" s="29">
        <v>37015.29</v>
      </c>
      <c r="V55" s="28">
        <f t="shared" si="11"/>
        <v>3.2385285550413866E-3</v>
      </c>
      <c r="W55" s="25">
        <v>0</v>
      </c>
      <c r="X55" s="28">
        <f t="shared" si="12"/>
        <v>0</v>
      </c>
      <c r="Y55" s="5"/>
      <c r="Z55" s="5"/>
      <c r="AA55" s="5"/>
    </row>
    <row r="56" spans="1:27" ht="54" customHeight="1">
      <c r="A56" s="22" t="s">
        <v>87</v>
      </c>
      <c r="B56" s="23" t="s">
        <v>88</v>
      </c>
      <c r="C56" s="23" t="s">
        <v>50</v>
      </c>
      <c r="D56" s="23" t="s">
        <v>113</v>
      </c>
      <c r="E56" s="33" t="s">
        <v>104</v>
      </c>
      <c r="F56" s="33" t="s">
        <v>114</v>
      </c>
      <c r="G56" s="23" t="s">
        <v>54</v>
      </c>
      <c r="H56" s="23" t="s">
        <v>92</v>
      </c>
      <c r="I56" s="23" t="s">
        <v>63</v>
      </c>
      <c r="J56" s="44">
        <v>4</v>
      </c>
      <c r="K56" s="34">
        <v>200000</v>
      </c>
      <c r="L56" s="25">
        <v>559620</v>
      </c>
      <c r="M56" s="25">
        <v>0</v>
      </c>
      <c r="N56" s="26">
        <f t="shared" si="8"/>
        <v>759620</v>
      </c>
      <c r="O56" s="26"/>
      <c r="P56" s="26"/>
      <c r="Q56" s="26"/>
      <c r="R56" s="26">
        <f t="shared" si="9"/>
        <v>759620</v>
      </c>
      <c r="S56" s="25">
        <v>0</v>
      </c>
      <c r="T56" s="28">
        <f t="shared" si="10"/>
        <v>0</v>
      </c>
      <c r="U56" s="46">
        <v>0</v>
      </c>
      <c r="V56" s="28">
        <f t="shared" si="11"/>
        <v>0</v>
      </c>
      <c r="W56" s="25">
        <v>0</v>
      </c>
      <c r="X56" s="28">
        <f t="shared" si="12"/>
        <v>0</v>
      </c>
      <c r="Y56" s="5"/>
      <c r="Z56" s="5"/>
      <c r="AA56" s="5"/>
    </row>
    <row r="57" spans="1:27" ht="54" hidden="1" customHeight="1">
      <c r="A57" s="22" t="s">
        <v>87</v>
      </c>
      <c r="B57" s="23" t="s">
        <v>88</v>
      </c>
      <c r="C57" s="23" t="s">
        <v>50</v>
      </c>
      <c r="D57" s="23" t="s">
        <v>113</v>
      </c>
      <c r="E57" s="33" t="s">
        <v>104</v>
      </c>
      <c r="F57" s="33" t="s">
        <v>114</v>
      </c>
      <c r="G57" s="23" t="s">
        <v>54</v>
      </c>
      <c r="H57" s="23" t="s">
        <v>94</v>
      </c>
      <c r="I57" s="23" t="s">
        <v>63</v>
      </c>
      <c r="J57" s="24">
        <v>3</v>
      </c>
      <c r="K57" s="34"/>
      <c r="L57" s="25"/>
      <c r="M57" s="25"/>
      <c r="N57" s="26">
        <f t="shared" si="8"/>
        <v>0</v>
      </c>
      <c r="O57" s="26"/>
      <c r="P57" s="26"/>
      <c r="Q57" s="26"/>
      <c r="R57" s="26">
        <f t="shared" si="9"/>
        <v>0</v>
      </c>
      <c r="S57" s="35"/>
      <c r="T57" s="28">
        <f t="shared" si="10"/>
        <v>0</v>
      </c>
      <c r="U57" s="29"/>
      <c r="V57" s="28">
        <f t="shared" si="11"/>
        <v>0</v>
      </c>
      <c r="W57" s="25"/>
      <c r="X57" s="28">
        <f t="shared" si="12"/>
        <v>0</v>
      </c>
      <c r="Y57" s="5"/>
      <c r="Z57" s="5"/>
      <c r="AA57" s="5"/>
    </row>
    <row r="58" spans="1:27" ht="54" hidden="1" customHeight="1">
      <c r="A58" s="22" t="s">
        <v>87</v>
      </c>
      <c r="B58" s="23" t="s">
        <v>88</v>
      </c>
      <c r="C58" s="23" t="s">
        <v>50</v>
      </c>
      <c r="D58" s="23" t="s">
        <v>113</v>
      </c>
      <c r="E58" s="33" t="s">
        <v>104</v>
      </c>
      <c r="F58" s="33" t="s">
        <v>114</v>
      </c>
      <c r="G58" s="23" t="s">
        <v>54</v>
      </c>
      <c r="H58" s="23" t="s">
        <v>94</v>
      </c>
      <c r="I58" s="23" t="s">
        <v>63</v>
      </c>
      <c r="J58" s="44">
        <v>4</v>
      </c>
      <c r="K58" s="34"/>
      <c r="L58" s="25"/>
      <c r="M58" s="25"/>
      <c r="N58" s="26">
        <f t="shared" si="8"/>
        <v>0</v>
      </c>
      <c r="O58" s="26"/>
      <c r="P58" s="26"/>
      <c r="Q58" s="26"/>
      <c r="R58" s="26">
        <f t="shared" si="9"/>
        <v>0</v>
      </c>
      <c r="S58" s="35"/>
      <c r="T58" s="28">
        <f t="shared" si="10"/>
        <v>0</v>
      </c>
      <c r="U58" s="46"/>
      <c r="V58" s="28">
        <f t="shared" si="11"/>
        <v>0</v>
      </c>
      <c r="W58" s="25"/>
      <c r="X58" s="28">
        <f t="shared" si="12"/>
        <v>0</v>
      </c>
      <c r="Y58" s="5"/>
      <c r="Z58" s="5"/>
      <c r="AA58" s="5"/>
    </row>
    <row r="59" spans="1:27" ht="63" hidden="1" customHeight="1">
      <c r="A59" s="22" t="s">
        <v>87</v>
      </c>
      <c r="B59" s="23" t="s">
        <v>88</v>
      </c>
      <c r="C59" s="23" t="s">
        <v>50</v>
      </c>
      <c r="D59" s="23" t="s">
        <v>113</v>
      </c>
      <c r="E59" s="33" t="s">
        <v>65</v>
      </c>
      <c r="F59" s="33" t="s">
        <v>114</v>
      </c>
      <c r="G59" s="23" t="s">
        <v>54</v>
      </c>
      <c r="H59" s="23" t="s">
        <v>115</v>
      </c>
      <c r="I59" s="23" t="s">
        <v>56</v>
      </c>
      <c r="J59" s="24">
        <v>3</v>
      </c>
      <c r="K59" s="34"/>
      <c r="L59" s="25"/>
      <c r="M59" s="25"/>
      <c r="N59" s="26">
        <f t="shared" si="8"/>
        <v>0</v>
      </c>
      <c r="O59" s="26"/>
      <c r="P59" s="26"/>
      <c r="Q59" s="26"/>
      <c r="R59" s="26">
        <f t="shared" si="9"/>
        <v>0</v>
      </c>
      <c r="S59" s="35"/>
      <c r="T59" s="28">
        <f t="shared" si="10"/>
        <v>0</v>
      </c>
      <c r="U59" s="29"/>
      <c r="V59" s="28">
        <f t="shared" si="11"/>
        <v>0</v>
      </c>
      <c r="W59" s="25"/>
      <c r="X59" s="28">
        <f t="shared" si="12"/>
        <v>0</v>
      </c>
      <c r="Y59" s="5"/>
      <c r="Z59" s="5"/>
      <c r="AA59" s="5"/>
    </row>
    <row r="60" spans="1:27" ht="63" customHeight="1">
      <c r="A60" s="22" t="s">
        <v>87</v>
      </c>
      <c r="B60" s="23" t="s">
        <v>88</v>
      </c>
      <c r="C60" s="23" t="s">
        <v>50</v>
      </c>
      <c r="D60" s="23" t="s">
        <v>116</v>
      </c>
      <c r="E60" s="33" t="s">
        <v>65</v>
      </c>
      <c r="F60" s="23" t="s">
        <v>117</v>
      </c>
      <c r="G60" s="23" t="s">
        <v>54</v>
      </c>
      <c r="H60" s="23" t="s">
        <v>92</v>
      </c>
      <c r="I60" s="23" t="s">
        <v>56</v>
      </c>
      <c r="J60" s="24">
        <v>3</v>
      </c>
      <c r="K60" s="34">
        <v>300000</v>
      </c>
      <c r="L60" s="25">
        <v>0</v>
      </c>
      <c r="M60" s="25">
        <v>0</v>
      </c>
      <c r="N60" s="26">
        <f t="shared" si="8"/>
        <v>300000</v>
      </c>
      <c r="O60" s="26"/>
      <c r="P60" s="26"/>
      <c r="Q60" s="26"/>
      <c r="R60" s="26">
        <f t="shared" si="9"/>
        <v>300000</v>
      </c>
      <c r="S60" s="35">
        <v>0</v>
      </c>
      <c r="T60" s="28">
        <f t="shared" si="10"/>
        <v>0</v>
      </c>
      <c r="U60" s="29">
        <v>0</v>
      </c>
      <c r="V60" s="28">
        <f t="shared" si="11"/>
        <v>0</v>
      </c>
      <c r="W60" s="25">
        <v>0</v>
      </c>
      <c r="X60" s="28">
        <f t="shared" si="12"/>
        <v>0</v>
      </c>
      <c r="Y60" s="5"/>
      <c r="Z60" s="5"/>
      <c r="AA60" s="5"/>
    </row>
    <row r="61" spans="1:27" ht="63" customHeight="1">
      <c r="A61" s="22" t="s">
        <v>87</v>
      </c>
      <c r="B61" s="23" t="s">
        <v>88</v>
      </c>
      <c r="C61" s="23" t="s">
        <v>50</v>
      </c>
      <c r="D61" s="23" t="s">
        <v>71</v>
      </c>
      <c r="E61" s="33" t="s">
        <v>65</v>
      </c>
      <c r="F61" s="23" t="s">
        <v>72</v>
      </c>
      <c r="G61" s="23" t="s">
        <v>54</v>
      </c>
      <c r="H61" s="23" t="s">
        <v>92</v>
      </c>
      <c r="I61" s="23" t="s">
        <v>56</v>
      </c>
      <c r="J61" s="24">
        <v>3</v>
      </c>
      <c r="K61" s="34">
        <v>15000</v>
      </c>
      <c r="L61" s="25">
        <v>0</v>
      </c>
      <c r="M61" s="25">
        <v>0</v>
      </c>
      <c r="N61" s="26">
        <f t="shared" si="8"/>
        <v>15000</v>
      </c>
      <c r="O61" s="26"/>
      <c r="P61" s="26"/>
      <c r="Q61" s="26"/>
      <c r="R61" s="26">
        <f t="shared" si="9"/>
        <v>15000</v>
      </c>
      <c r="S61" s="35">
        <v>0</v>
      </c>
      <c r="T61" s="28">
        <f t="shared" si="10"/>
        <v>0</v>
      </c>
      <c r="U61" s="55">
        <v>0</v>
      </c>
      <c r="V61" s="28">
        <f t="shared" si="11"/>
        <v>0</v>
      </c>
      <c r="W61" s="25">
        <v>0</v>
      </c>
      <c r="X61" s="28">
        <f t="shared" si="12"/>
        <v>0</v>
      </c>
      <c r="Y61" s="5"/>
      <c r="Z61" s="5"/>
      <c r="AA61" s="5"/>
    </row>
    <row r="62" spans="1:27" ht="63" hidden="1" customHeight="1">
      <c r="A62" s="22" t="s">
        <v>87</v>
      </c>
      <c r="B62" s="23" t="s">
        <v>88</v>
      </c>
      <c r="C62" s="23" t="s">
        <v>50</v>
      </c>
      <c r="D62" s="23" t="s">
        <v>71</v>
      </c>
      <c r="E62" s="33" t="s">
        <v>65</v>
      </c>
      <c r="F62" s="23" t="s">
        <v>72</v>
      </c>
      <c r="G62" s="23" t="s">
        <v>54</v>
      </c>
      <c r="H62" s="23" t="s">
        <v>94</v>
      </c>
      <c r="I62" s="23" t="s">
        <v>56</v>
      </c>
      <c r="J62" s="24">
        <v>3</v>
      </c>
      <c r="K62" s="34"/>
      <c r="L62" s="25"/>
      <c r="M62" s="25"/>
      <c r="N62" s="26">
        <f t="shared" si="8"/>
        <v>0</v>
      </c>
      <c r="O62" s="26"/>
      <c r="P62" s="26"/>
      <c r="Q62" s="26"/>
      <c r="R62" s="26">
        <f t="shared" si="9"/>
        <v>0</v>
      </c>
      <c r="S62" s="35"/>
      <c r="T62" s="28">
        <f t="shared" si="10"/>
        <v>0</v>
      </c>
      <c r="U62" s="29"/>
      <c r="V62" s="28">
        <f t="shared" si="11"/>
        <v>0</v>
      </c>
      <c r="W62" s="25"/>
      <c r="X62" s="28">
        <f t="shared" si="12"/>
        <v>0</v>
      </c>
      <c r="Y62" s="5"/>
      <c r="Z62" s="5"/>
      <c r="AA62" s="5"/>
    </row>
    <row r="63" spans="1:27" ht="63" customHeight="1">
      <c r="A63" s="22" t="s">
        <v>87</v>
      </c>
      <c r="B63" s="23" t="s">
        <v>88</v>
      </c>
      <c r="C63" s="23" t="s">
        <v>118</v>
      </c>
      <c r="D63" s="56" t="s">
        <v>119</v>
      </c>
      <c r="E63" s="33" t="s">
        <v>65</v>
      </c>
      <c r="F63" s="23" t="s">
        <v>120</v>
      </c>
      <c r="G63" s="23" t="s">
        <v>54</v>
      </c>
      <c r="H63" s="23" t="s">
        <v>92</v>
      </c>
      <c r="I63" s="23" t="s">
        <v>56</v>
      </c>
      <c r="J63" s="24">
        <v>3</v>
      </c>
      <c r="K63" s="34">
        <f>18113000-K64</f>
        <v>15720000</v>
      </c>
      <c r="L63" s="25">
        <v>0</v>
      </c>
      <c r="M63" s="25">
        <v>0</v>
      </c>
      <c r="N63" s="26">
        <f t="shared" si="8"/>
        <v>15720000</v>
      </c>
      <c r="O63" s="26"/>
      <c r="P63" s="26"/>
      <c r="Q63" s="26"/>
      <c r="R63" s="26">
        <f t="shared" si="9"/>
        <v>15720000</v>
      </c>
      <c r="S63" s="35">
        <f>7719401.45</f>
        <v>7719401.4500000002</v>
      </c>
      <c r="T63" s="28">
        <f t="shared" si="10"/>
        <v>0.49105607188295164</v>
      </c>
      <c r="U63" s="29">
        <v>0</v>
      </c>
      <c r="V63" s="28">
        <f t="shared" si="11"/>
        <v>0</v>
      </c>
      <c r="W63" s="25">
        <v>0</v>
      </c>
      <c r="X63" s="28">
        <f t="shared" si="12"/>
        <v>0</v>
      </c>
      <c r="Y63" s="5"/>
      <c r="Z63" s="5"/>
      <c r="AA63" s="5"/>
    </row>
    <row r="64" spans="1:27" ht="63" customHeight="1">
      <c r="A64" s="22" t="s">
        <v>87</v>
      </c>
      <c r="B64" s="23" t="s">
        <v>88</v>
      </c>
      <c r="C64" s="23" t="s">
        <v>118</v>
      </c>
      <c r="D64" s="56" t="s">
        <v>119</v>
      </c>
      <c r="E64" s="33" t="s">
        <v>65</v>
      </c>
      <c r="F64" s="23" t="s">
        <v>120</v>
      </c>
      <c r="G64" s="23" t="s">
        <v>54</v>
      </c>
      <c r="H64" s="23" t="s">
        <v>92</v>
      </c>
      <c r="I64" s="23" t="s">
        <v>56</v>
      </c>
      <c r="J64" s="44">
        <v>4</v>
      </c>
      <c r="K64" s="34">
        <v>2393000</v>
      </c>
      <c r="L64" s="25">
        <v>0</v>
      </c>
      <c r="M64" s="25">
        <v>1292820</v>
      </c>
      <c r="N64" s="26">
        <f t="shared" si="8"/>
        <v>1100180</v>
      </c>
      <c r="O64" s="26"/>
      <c r="P64" s="26"/>
      <c r="Q64" s="26"/>
      <c r="R64" s="26">
        <f t="shared" si="9"/>
        <v>1100180</v>
      </c>
      <c r="S64" s="35">
        <v>0</v>
      </c>
      <c r="T64" s="28">
        <f t="shared" si="10"/>
        <v>0</v>
      </c>
      <c r="U64" s="46">
        <v>0</v>
      </c>
      <c r="V64" s="28">
        <f t="shared" si="11"/>
        <v>0</v>
      </c>
      <c r="W64" s="25">
        <v>0</v>
      </c>
      <c r="X64" s="28">
        <f t="shared" si="12"/>
        <v>0</v>
      </c>
      <c r="Y64" s="5"/>
      <c r="Z64" s="5"/>
      <c r="AA64" s="5"/>
    </row>
    <row r="65" spans="1:27" ht="63" hidden="1" customHeight="1">
      <c r="A65" s="22" t="s">
        <v>87</v>
      </c>
      <c r="B65" s="23" t="s">
        <v>88</v>
      </c>
      <c r="C65" s="23" t="s">
        <v>118</v>
      </c>
      <c r="D65" s="23" t="s">
        <v>119</v>
      </c>
      <c r="E65" s="33" t="s">
        <v>65</v>
      </c>
      <c r="F65" s="23" t="s">
        <v>120</v>
      </c>
      <c r="G65" s="23" t="s">
        <v>54</v>
      </c>
      <c r="H65" s="23" t="s">
        <v>94</v>
      </c>
      <c r="I65" s="23" t="s">
        <v>56</v>
      </c>
      <c r="J65" s="24">
        <v>3</v>
      </c>
      <c r="K65" s="34"/>
      <c r="L65" s="25"/>
      <c r="M65" s="25"/>
      <c r="N65" s="26">
        <f t="shared" si="8"/>
        <v>0</v>
      </c>
      <c r="O65" s="26"/>
      <c r="P65" s="26"/>
      <c r="Q65" s="26"/>
      <c r="R65" s="26">
        <f t="shared" si="9"/>
        <v>0</v>
      </c>
      <c r="S65" s="35"/>
      <c r="T65" s="28">
        <f t="shared" si="10"/>
        <v>0</v>
      </c>
      <c r="U65" s="29"/>
      <c r="V65" s="28">
        <f t="shared" si="11"/>
        <v>0</v>
      </c>
      <c r="W65" s="25"/>
      <c r="X65" s="28">
        <f t="shared" si="12"/>
        <v>0</v>
      </c>
      <c r="Y65" s="5"/>
      <c r="Z65" s="5"/>
      <c r="AA65" s="5"/>
    </row>
    <row r="66" spans="1:27" ht="63" hidden="1" customHeight="1">
      <c r="A66" s="22" t="s">
        <v>87</v>
      </c>
      <c r="B66" s="23" t="s">
        <v>88</v>
      </c>
      <c r="C66" s="23" t="s">
        <v>118</v>
      </c>
      <c r="D66" s="23" t="s">
        <v>119</v>
      </c>
      <c r="E66" s="33" t="s">
        <v>65</v>
      </c>
      <c r="F66" s="23" t="s">
        <v>120</v>
      </c>
      <c r="G66" s="23" t="s">
        <v>54</v>
      </c>
      <c r="H66" s="23" t="s">
        <v>94</v>
      </c>
      <c r="I66" s="23" t="s">
        <v>56</v>
      </c>
      <c r="J66" s="44">
        <v>4</v>
      </c>
      <c r="K66" s="34"/>
      <c r="L66" s="25"/>
      <c r="M66" s="25"/>
      <c r="N66" s="26">
        <f t="shared" si="8"/>
        <v>0</v>
      </c>
      <c r="O66" s="26"/>
      <c r="P66" s="26"/>
      <c r="Q66" s="26"/>
      <c r="R66" s="26">
        <f t="shared" si="9"/>
        <v>0</v>
      </c>
      <c r="S66" s="35"/>
      <c r="T66" s="28">
        <f t="shared" si="10"/>
        <v>0</v>
      </c>
      <c r="U66" s="46"/>
      <c r="V66" s="28">
        <f t="shared" si="11"/>
        <v>0</v>
      </c>
      <c r="W66" s="25"/>
      <c r="X66" s="28">
        <f t="shared" si="12"/>
        <v>0</v>
      </c>
      <c r="Y66" s="5"/>
      <c r="Z66" s="5"/>
      <c r="AA66" s="5"/>
    </row>
    <row r="67" spans="1:27" ht="63" customHeight="1">
      <c r="A67" s="22" t="s">
        <v>87</v>
      </c>
      <c r="B67" s="23" t="s">
        <v>88</v>
      </c>
      <c r="C67" s="23" t="s">
        <v>118</v>
      </c>
      <c r="D67" s="23" t="s">
        <v>121</v>
      </c>
      <c r="E67" s="33" t="s">
        <v>65</v>
      </c>
      <c r="F67" s="23" t="s">
        <v>122</v>
      </c>
      <c r="G67" s="23" t="s">
        <v>54</v>
      </c>
      <c r="H67" s="23" t="s">
        <v>92</v>
      </c>
      <c r="I67" s="23" t="s">
        <v>56</v>
      </c>
      <c r="J67" s="24">
        <v>3</v>
      </c>
      <c r="K67" s="34">
        <f>5300000-K68</f>
        <v>4400000</v>
      </c>
      <c r="L67" s="25">
        <v>0</v>
      </c>
      <c r="M67" s="25">
        <v>0</v>
      </c>
      <c r="N67" s="26">
        <f t="shared" si="8"/>
        <v>4400000</v>
      </c>
      <c r="O67" s="26"/>
      <c r="P67" s="26"/>
      <c r="Q67" s="26"/>
      <c r="R67" s="26">
        <f t="shared" si="9"/>
        <v>4400000</v>
      </c>
      <c r="S67" s="35">
        <v>2210915.69</v>
      </c>
      <c r="T67" s="28">
        <f t="shared" si="10"/>
        <v>0.50248083863636361</v>
      </c>
      <c r="U67" s="29">
        <v>0</v>
      </c>
      <c r="V67" s="28">
        <f t="shared" si="11"/>
        <v>0</v>
      </c>
      <c r="W67" s="25">
        <v>0</v>
      </c>
      <c r="X67" s="28">
        <f t="shared" si="12"/>
        <v>0</v>
      </c>
      <c r="Y67" s="5"/>
      <c r="Z67" s="5"/>
      <c r="AA67" s="5"/>
    </row>
    <row r="68" spans="1:27" ht="63" customHeight="1">
      <c r="A68" s="22" t="s">
        <v>87</v>
      </c>
      <c r="B68" s="23" t="s">
        <v>88</v>
      </c>
      <c r="C68" s="23" t="s">
        <v>118</v>
      </c>
      <c r="D68" s="23" t="s">
        <v>121</v>
      </c>
      <c r="E68" s="33" t="s">
        <v>65</v>
      </c>
      <c r="F68" s="23" t="s">
        <v>122</v>
      </c>
      <c r="G68" s="23" t="s">
        <v>54</v>
      </c>
      <c r="H68" s="23" t="s">
        <v>92</v>
      </c>
      <c r="I68" s="23" t="s">
        <v>56</v>
      </c>
      <c r="J68" s="44">
        <v>4</v>
      </c>
      <c r="K68" s="34">
        <v>900000</v>
      </c>
      <c r="L68" s="25">
        <v>0</v>
      </c>
      <c r="M68" s="25">
        <v>616800</v>
      </c>
      <c r="N68" s="26">
        <f t="shared" si="8"/>
        <v>283200</v>
      </c>
      <c r="O68" s="26"/>
      <c r="P68" s="26"/>
      <c r="Q68" s="26"/>
      <c r="R68" s="26">
        <f t="shared" si="9"/>
        <v>283200</v>
      </c>
      <c r="S68" s="35">
        <v>0</v>
      </c>
      <c r="T68" s="28">
        <f t="shared" si="10"/>
        <v>0</v>
      </c>
      <c r="U68" s="46">
        <v>0</v>
      </c>
      <c r="V68" s="28">
        <f t="shared" si="11"/>
        <v>0</v>
      </c>
      <c r="W68" s="25">
        <v>0</v>
      </c>
      <c r="X68" s="28">
        <f t="shared" si="12"/>
        <v>0</v>
      </c>
      <c r="Y68" s="5"/>
      <c r="Z68" s="5"/>
      <c r="AA68" s="5"/>
    </row>
    <row r="69" spans="1:27" ht="63" hidden="1" customHeight="1">
      <c r="A69" s="22" t="s">
        <v>87</v>
      </c>
      <c r="B69" s="23" t="s">
        <v>88</v>
      </c>
      <c r="C69" s="23" t="s">
        <v>118</v>
      </c>
      <c r="D69" s="23" t="s">
        <v>121</v>
      </c>
      <c r="E69" s="33" t="s">
        <v>65</v>
      </c>
      <c r="F69" s="23" t="s">
        <v>122</v>
      </c>
      <c r="G69" s="23" t="s">
        <v>54</v>
      </c>
      <c r="H69" s="23" t="s">
        <v>94</v>
      </c>
      <c r="I69" s="23" t="s">
        <v>56</v>
      </c>
      <c r="J69" s="44">
        <v>4</v>
      </c>
      <c r="K69" s="34"/>
      <c r="L69" s="25"/>
      <c r="M69" s="25"/>
      <c r="N69" s="26">
        <f t="shared" si="8"/>
        <v>0</v>
      </c>
      <c r="O69" s="26"/>
      <c r="P69" s="26"/>
      <c r="Q69" s="26"/>
      <c r="R69" s="26">
        <f t="shared" si="9"/>
        <v>0</v>
      </c>
      <c r="S69" s="35"/>
      <c r="T69" s="28">
        <f t="shared" si="10"/>
        <v>0</v>
      </c>
      <c r="U69" s="46"/>
      <c r="V69" s="28">
        <f t="shared" si="11"/>
        <v>0</v>
      </c>
      <c r="W69" s="25"/>
      <c r="X69" s="28">
        <f t="shared" si="12"/>
        <v>0</v>
      </c>
      <c r="Y69" s="5"/>
      <c r="Z69" s="5"/>
      <c r="AA69" s="5"/>
    </row>
    <row r="70" spans="1:27" ht="63" customHeight="1">
      <c r="A70" s="22" t="s">
        <v>87</v>
      </c>
      <c r="B70" s="23" t="s">
        <v>88</v>
      </c>
      <c r="C70" s="23" t="s">
        <v>76</v>
      </c>
      <c r="D70" s="23" t="s">
        <v>77</v>
      </c>
      <c r="E70" s="33" t="s">
        <v>65</v>
      </c>
      <c r="F70" s="23" t="s">
        <v>123</v>
      </c>
      <c r="G70" s="23" t="s">
        <v>54</v>
      </c>
      <c r="H70" s="23" t="s">
        <v>92</v>
      </c>
      <c r="I70" s="23" t="s">
        <v>56</v>
      </c>
      <c r="J70" s="24">
        <v>3</v>
      </c>
      <c r="K70" s="34">
        <v>0</v>
      </c>
      <c r="L70" s="25">
        <v>1350000</v>
      </c>
      <c r="M70" s="25">
        <v>0</v>
      </c>
      <c r="N70" s="26">
        <f t="shared" si="8"/>
        <v>1350000</v>
      </c>
      <c r="O70" s="26"/>
      <c r="P70" s="26"/>
      <c r="Q70" s="26"/>
      <c r="R70" s="26">
        <f t="shared" si="9"/>
        <v>1350000</v>
      </c>
      <c r="S70" s="35">
        <v>0</v>
      </c>
      <c r="T70" s="28">
        <f t="shared" si="10"/>
        <v>0</v>
      </c>
      <c r="U70" s="29">
        <v>0</v>
      </c>
      <c r="V70" s="28">
        <f t="shared" si="11"/>
        <v>0</v>
      </c>
      <c r="W70" s="25">
        <v>0</v>
      </c>
      <c r="X70" s="28">
        <f t="shared" si="12"/>
        <v>0</v>
      </c>
      <c r="Y70" s="5"/>
      <c r="Z70" s="5"/>
      <c r="AA70" s="5"/>
    </row>
    <row r="71" spans="1:27" ht="63" customHeight="1">
      <c r="A71" s="22" t="s">
        <v>87</v>
      </c>
      <c r="B71" s="23" t="s">
        <v>88</v>
      </c>
      <c r="C71" s="23" t="s">
        <v>76</v>
      </c>
      <c r="D71" s="23" t="s">
        <v>77</v>
      </c>
      <c r="E71" s="33" t="s">
        <v>65</v>
      </c>
      <c r="F71" s="23" t="s">
        <v>123</v>
      </c>
      <c r="G71" s="23" t="s">
        <v>54</v>
      </c>
      <c r="H71" s="23" t="s">
        <v>112</v>
      </c>
      <c r="I71" s="23" t="s">
        <v>56</v>
      </c>
      <c r="J71" s="24">
        <v>3</v>
      </c>
      <c r="K71" s="34">
        <v>300000</v>
      </c>
      <c r="L71" s="25">
        <v>0</v>
      </c>
      <c r="M71" s="25">
        <v>0</v>
      </c>
      <c r="N71" s="26">
        <f t="shared" si="8"/>
        <v>300000</v>
      </c>
      <c r="O71" s="26"/>
      <c r="P71" s="26"/>
      <c r="Q71" s="26"/>
      <c r="R71" s="26">
        <f t="shared" si="9"/>
        <v>300000</v>
      </c>
      <c r="S71" s="35">
        <v>19050</v>
      </c>
      <c r="T71" s="28">
        <f t="shared" si="10"/>
        <v>6.3500000000000001E-2</v>
      </c>
      <c r="U71" s="29">
        <v>0</v>
      </c>
      <c r="V71" s="28">
        <f t="shared" si="11"/>
        <v>0</v>
      </c>
      <c r="W71" s="25">
        <v>0</v>
      </c>
      <c r="X71" s="28">
        <f t="shared" si="12"/>
        <v>0</v>
      </c>
      <c r="Y71" s="5"/>
      <c r="Z71" s="5"/>
      <c r="AA71" s="5"/>
    </row>
    <row r="72" spans="1:27" ht="15.75" customHeight="1">
      <c r="A72" s="141" t="s">
        <v>124</v>
      </c>
      <c r="B72" s="140"/>
      <c r="C72" s="140"/>
      <c r="D72" s="140"/>
      <c r="E72" s="140"/>
      <c r="F72" s="140"/>
      <c r="G72" s="140"/>
      <c r="H72" s="140"/>
      <c r="I72" s="140"/>
      <c r="J72" s="135"/>
      <c r="K72" s="39">
        <f t="shared" ref="K72:S72" si="13">SUM(K33:K71)</f>
        <v>83793000</v>
      </c>
      <c r="L72" s="39">
        <f t="shared" si="13"/>
        <v>6338026.1100000003</v>
      </c>
      <c r="M72" s="39">
        <f t="shared" si="13"/>
        <v>6338026.1099999994</v>
      </c>
      <c r="N72" s="39">
        <f t="shared" si="13"/>
        <v>83793000</v>
      </c>
      <c r="O72" s="39">
        <f t="shared" si="13"/>
        <v>0</v>
      </c>
      <c r="P72" s="39">
        <f t="shared" si="13"/>
        <v>0</v>
      </c>
      <c r="Q72" s="39">
        <f t="shared" si="13"/>
        <v>0</v>
      </c>
      <c r="R72" s="39">
        <f t="shared" si="13"/>
        <v>83793000</v>
      </c>
      <c r="S72" s="39">
        <f t="shared" si="13"/>
        <v>40623076.960000001</v>
      </c>
      <c r="T72" s="40">
        <f t="shared" si="10"/>
        <v>0.48480275154249164</v>
      </c>
      <c r="U72" s="39">
        <f>SUM(U33:U71)</f>
        <v>610498.49</v>
      </c>
      <c r="V72" s="40">
        <f t="shared" si="11"/>
        <v>7.285793443366391E-3</v>
      </c>
      <c r="W72" s="39">
        <f>SUM(W33:W71)</f>
        <v>0</v>
      </c>
      <c r="X72" s="40">
        <f t="shared" si="12"/>
        <v>0</v>
      </c>
      <c r="Y72" s="5"/>
      <c r="Z72" s="5"/>
      <c r="AA72" s="5"/>
    </row>
    <row r="73" spans="1:27" ht="15.75" customHeight="1">
      <c r="A73" s="142" t="s">
        <v>125</v>
      </c>
      <c r="B73" s="140"/>
      <c r="C73" s="140"/>
      <c r="D73" s="140"/>
      <c r="E73" s="140"/>
      <c r="F73" s="140"/>
      <c r="G73" s="140"/>
      <c r="H73" s="140"/>
      <c r="I73" s="140"/>
      <c r="J73" s="135"/>
      <c r="K73" s="57">
        <f t="shared" ref="K73:S73" si="14">SUM(K30+K72)</f>
        <v>953062000</v>
      </c>
      <c r="L73" s="57">
        <f t="shared" si="14"/>
        <v>26684283.140000001</v>
      </c>
      <c r="M73" s="57">
        <f t="shared" si="14"/>
        <v>26684283.140000001</v>
      </c>
      <c r="N73" s="57">
        <f t="shared" si="14"/>
        <v>953062000</v>
      </c>
      <c r="O73" s="57">
        <f t="shared" si="14"/>
        <v>0</v>
      </c>
      <c r="P73" s="57">
        <f t="shared" si="14"/>
        <v>0</v>
      </c>
      <c r="Q73" s="57">
        <f t="shared" si="14"/>
        <v>0</v>
      </c>
      <c r="R73" s="57">
        <f t="shared" si="14"/>
        <v>953062000</v>
      </c>
      <c r="S73" s="57">
        <f t="shared" si="14"/>
        <v>101103239.42</v>
      </c>
      <c r="T73" s="58">
        <f t="shared" si="10"/>
        <v>0.10608254176538358</v>
      </c>
      <c r="U73" s="57">
        <f>SUM(U30+U72)</f>
        <v>61051660.950000003</v>
      </c>
      <c r="V73" s="58">
        <f t="shared" si="11"/>
        <v>6.4058435810052231E-2</v>
      </c>
      <c r="W73" s="57">
        <f>SUM(W30+W72)</f>
        <v>60402318.43</v>
      </c>
      <c r="X73" s="58">
        <f t="shared" si="12"/>
        <v>6.3377113377723587E-2</v>
      </c>
      <c r="Y73" s="30"/>
      <c r="Z73" s="5"/>
      <c r="AA73" s="5"/>
    </row>
    <row r="74" spans="1:27" ht="14.25" customHeight="1">
      <c r="A74" s="59" t="s">
        <v>126</v>
      </c>
      <c r="B74" s="60"/>
      <c r="C74" s="60"/>
      <c r="D74" s="60"/>
      <c r="E74" s="60"/>
      <c r="F74" s="60"/>
      <c r="G74" s="60"/>
      <c r="H74" s="61"/>
      <c r="I74" s="61"/>
      <c r="J74" s="61"/>
      <c r="K74" s="60"/>
      <c r="L74" s="60"/>
      <c r="M74" s="62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5"/>
      <c r="Z74" s="5"/>
      <c r="AA74" s="5"/>
    </row>
    <row r="75" spans="1:27" ht="14.25" customHeight="1">
      <c r="A75" s="59" t="s">
        <v>127</v>
      </c>
      <c r="B75" s="64"/>
      <c r="C75" s="60"/>
      <c r="D75" s="60"/>
      <c r="E75" s="60"/>
      <c r="F75" s="60"/>
      <c r="G75" s="60"/>
      <c r="H75" s="61"/>
      <c r="I75" s="61"/>
      <c r="J75" s="61"/>
      <c r="K75" s="60"/>
      <c r="L75" s="60"/>
      <c r="M75" s="62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5"/>
      <c r="Z75" s="5"/>
      <c r="AA75" s="5"/>
    </row>
    <row r="76" spans="1:27" ht="14.25" customHeight="1">
      <c r="A76" s="143" t="s">
        <v>128</v>
      </c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35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5"/>
      <c r="Z76" s="5"/>
      <c r="AA76" s="5"/>
    </row>
    <row r="77" spans="1:27" ht="14.25" customHeight="1">
      <c r="A77" s="6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63"/>
      <c r="O77" s="63"/>
      <c r="P77" s="63"/>
      <c r="Q77" s="5"/>
      <c r="R77" s="5"/>
      <c r="S77" s="5"/>
      <c r="T77" s="5"/>
      <c r="U77" s="5"/>
      <c r="V77" s="5"/>
      <c r="W77" s="5"/>
      <c r="X77" s="66"/>
      <c r="Y77" s="5"/>
      <c r="Z77" s="5"/>
      <c r="AA77" s="5"/>
    </row>
    <row r="78" spans="1:27" ht="14.25" customHeight="1">
      <c r="A78" s="144"/>
      <c r="B78" s="145"/>
      <c r="C78" s="145"/>
      <c r="D78" s="145"/>
      <c r="E78" s="145"/>
      <c r="F78" s="145"/>
      <c r="G78" s="145"/>
      <c r="H78" s="146"/>
      <c r="I78" s="5"/>
      <c r="J78" s="5"/>
      <c r="K78" s="5"/>
      <c r="L78" s="5"/>
      <c r="M78" s="5"/>
      <c r="N78" s="63"/>
      <c r="O78" s="63"/>
      <c r="P78" s="63"/>
      <c r="Q78" s="5"/>
      <c r="R78" s="5"/>
      <c r="S78" s="5"/>
      <c r="T78" s="5"/>
      <c r="U78" s="5"/>
      <c r="V78" s="5"/>
      <c r="W78" s="5"/>
      <c r="X78" s="66"/>
      <c r="Y78" s="5"/>
      <c r="Z78" s="5"/>
      <c r="AA78" s="5"/>
    </row>
    <row r="79" spans="1:27" ht="14.25" customHeight="1">
      <c r="A79" s="147"/>
      <c r="B79" s="133"/>
      <c r="C79" s="133"/>
      <c r="D79" s="133"/>
      <c r="E79" s="133"/>
      <c r="F79" s="133"/>
      <c r="G79" s="133"/>
      <c r="H79" s="148"/>
      <c r="I79" s="3"/>
      <c r="J79" s="3"/>
      <c r="K79" s="67"/>
      <c r="L79" s="67"/>
      <c r="M79" s="67"/>
      <c r="N79" s="67"/>
      <c r="O79" s="67"/>
      <c r="P79" s="67"/>
      <c r="Q79" s="5"/>
      <c r="R79" s="5"/>
      <c r="S79" s="5"/>
      <c r="T79" s="5"/>
      <c r="U79" s="5"/>
      <c r="V79" s="5"/>
      <c r="W79" s="5"/>
      <c r="X79" s="66"/>
      <c r="Y79" s="30"/>
      <c r="Z79" s="5"/>
      <c r="AA79" s="5"/>
    </row>
    <row r="80" spans="1:27" ht="14.25" customHeight="1">
      <c r="A80" s="149"/>
      <c r="B80" s="150"/>
      <c r="C80" s="150"/>
      <c r="D80" s="150"/>
      <c r="E80" s="150"/>
      <c r="F80" s="150"/>
      <c r="G80" s="150"/>
      <c r="H80" s="151"/>
      <c r="I80" s="3"/>
      <c r="J80" s="3"/>
      <c r="K80" s="67"/>
      <c r="L80" s="67"/>
      <c r="M80" s="67"/>
      <c r="N80" s="67"/>
      <c r="O80" s="67"/>
      <c r="P80" s="67"/>
      <c r="Q80" s="5"/>
      <c r="R80" s="5"/>
      <c r="S80" s="5"/>
      <c r="T80" s="5"/>
      <c r="U80" s="68"/>
      <c r="V80" s="5"/>
      <c r="W80" s="5"/>
      <c r="X80" s="66"/>
      <c r="Y80" s="30"/>
      <c r="Z80" s="5"/>
      <c r="AA80" s="5"/>
    </row>
    <row r="81" spans="1:27" ht="14.25" customHeight="1">
      <c r="A81" s="69"/>
      <c r="B81" s="69"/>
      <c r="C81" s="69"/>
      <c r="D81" s="63"/>
      <c r="E81" s="63"/>
      <c r="F81" s="63"/>
      <c r="G81" s="63"/>
      <c r="H81" s="3"/>
      <c r="I81" s="3"/>
      <c r="J81" s="3"/>
      <c r="K81" s="67"/>
      <c r="L81" s="67"/>
      <c r="M81" s="67"/>
      <c r="N81" s="67"/>
      <c r="O81" s="67"/>
      <c r="P81" s="67"/>
      <c r="Q81" s="5"/>
      <c r="R81" s="5"/>
      <c r="S81" s="5"/>
      <c r="T81" s="5"/>
      <c r="U81" s="68"/>
      <c r="V81" s="5"/>
      <c r="W81" s="5"/>
      <c r="X81" s="66"/>
      <c r="Y81" s="30"/>
      <c r="Z81" s="5"/>
      <c r="AA81" s="5"/>
    </row>
    <row r="82" spans="1:27" ht="14.25" customHeight="1">
      <c r="A82" s="69"/>
      <c r="B82" s="69"/>
      <c r="C82" s="69"/>
      <c r="D82" s="63"/>
      <c r="E82" s="63"/>
      <c r="F82" s="63"/>
      <c r="G82" s="63"/>
      <c r="H82" s="3"/>
      <c r="I82" s="3"/>
      <c r="J82" s="3"/>
      <c r="K82" s="67"/>
      <c r="L82" s="67"/>
      <c r="M82" s="67"/>
      <c r="N82" s="67"/>
      <c r="O82" s="67"/>
      <c r="P82" s="67"/>
      <c r="Q82" s="5"/>
      <c r="R82" s="5"/>
      <c r="S82" s="5"/>
      <c r="T82" s="5"/>
      <c r="U82" s="68"/>
      <c r="V82" s="5"/>
      <c r="W82" s="5"/>
      <c r="X82" s="66"/>
      <c r="Y82" s="30"/>
      <c r="Z82" s="5"/>
      <c r="AA82" s="5"/>
    </row>
    <row r="83" spans="1:27" ht="14.25" customHeight="1">
      <c r="A83" s="70"/>
      <c r="B83" s="70"/>
      <c r="C83" s="70"/>
      <c r="D83" s="70"/>
      <c r="E83" s="70"/>
      <c r="F83" s="70"/>
      <c r="G83" s="63"/>
      <c r="H83" s="3"/>
      <c r="I83" s="3"/>
      <c r="J83" s="3"/>
      <c r="K83" s="67"/>
      <c r="L83" s="63"/>
      <c r="M83" s="63"/>
      <c r="N83" s="63"/>
      <c r="O83" s="63"/>
      <c r="P83" s="63"/>
      <c r="Q83" s="5"/>
      <c r="R83" s="5"/>
      <c r="S83" s="5"/>
      <c r="T83" s="5"/>
      <c r="U83" s="68"/>
      <c r="V83" s="5"/>
      <c r="W83" s="5"/>
      <c r="X83" s="63"/>
      <c r="Y83" s="5"/>
      <c r="Z83" s="5"/>
      <c r="AA83" s="5"/>
    </row>
    <row r="84" spans="1:27" ht="14.25" customHeight="1">
      <c r="A84" s="70"/>
      <c r="B84" s="70"/>
      <c r="C84" s="70"/>
      <c r="D84" s="70"/>
      <c r="E84" s="70"/>
      <c r="F84" s="70"/>
      <c r="G84" s="63"/>
      <c r="H84" s="3"/>
      <c r="I84" s="3"/>
      <c r="J84" s="3"/>
      <c r="K84" s="67"/>
      <c r="L84" s="63"/>
      <c r="M84" s="63"/>
      <c r="N84" s="63"/>
      <c r="O84" s="63"/>
      <c r="P84" s="63"/>
      <c r="Q84" s="5"/>
      <c r="R84" s="5"/>
      <c r="S84" s="5"/>
      <c r="T84" s="5"/>
      <c r="U84" s="5"/>
      <c r="V84" s="5"/>
      <c r="W84" s="5"/>
      <c r="X84" s="63"/>
      <c r="Y84" s="5"/>
      <c r="Z84" s="5"/>
      <c r="AA84" s="5"/>
    </row>
    <row r="85" spans="1:27" ht="15.75" customHeight="1">
      <c r="A85" s="70"/>
      <c r="B85" s="70"/>
      <c r="C85" s="70"/>
      <c r="D85" s="70"/>
      <c r="E85" s="70"/>
      <c r="F85" s="70"/>
      <c r="G85" s="63"/>
      <c r="H85" s="3"/>
      <c r="I85" s="3"/>
      <c r="J85" s="3"/>
      <c r="K85" s="63"/>
      <c r="L85" s="63"/>
      <c r="M85" s="63"/>
      <c r="N85" s="63"/>
      <c r="O85" s="63"/>
      <c r="P85" s="63"/>
      <c r="Q85" s="71" t="s">
        <v>34</v>
      </c>
      <c r="R85" s="71"/>
      <c r="S85" s="72"/>
      <c r="T85" s="71" t="s">
        <v>35</v>
      </c>
      <c r="U85" s="71"/>
      <c r="V85" s="66"/>
      <c r="W85" s="73" t="s">
        <v>129</v>
      </c>
      <c r="X85" s="63"/>
      <c r="Y85" s="5"/>
      <c r="Z85" s="5"/>
      <c r="AA85" s="5"/>
    </row>
    <row r="86" spans="1:27" ht="14.25" customHeight="1">
      <c r="A86" s="70"/>
      <c r="B86" s="70"/>
      <c r="C86" s="70"/>
      <c r="D86" s="70"/>
      <c r="E86" s="70"/>
      <c r="F86" s="70"/>
      <c r="G86" s="63"/>
      <c r="H86" s="3"/>
      <c r="I86" s="3"/>
      <c r="J86" s="3"/>
      <c r="K86" s="74"/>
      <c r="L86" s="74"/>
      <c r="M86" s="74"/>
      <c r="N86" s="74"/>
      <c r="O86" s="74"/>
      <c r="P86" s="74"/>
      <c r="Q86" s="75">
        <v>1</v>
      </c>
      <c r="R86" s="76"/>
      <c r="S86" s="66"/>
      <c r="T86" s="77">
        <v>1</v>
      </c>
      <c r="U86" s="76">
        <f>U17+U18+U20+U21+U24+U25+U27+U28+U29</f>
        <v>51155369.280000001</v>
      </c>
      <c r="V86" s="66"/>
      <c r="W86" s="78">
        <f t="shared" ref="W86:W88" si="15">U86-R86</f>
        <v>51155369.280000001</v>
      </c>
      <c r="X86" s="63"/>
      <c r="Y86" s="68"/>
      <c r="Z86" s="5"/>
      <c r="AA86" s="5"/>
    </row>
    <row r="87" spans="1:27" ht="14.25" customHeight="1">
      <c r="A87" s="1"/>
      <c r="B87" s="79"/>
      <c r="C87" s="79"/>
      <c r="D87" s="79"/>
      <c r="E87" s="1"/>
      <c r="F87" s="1"/>
      <c r="G87" s="1"/>
      <c r="H87" s="2"/>
      <c r="I87" s="2"/>
      <c r="J87" s="3"/>
      <c r="K87" s="80"/>
      <c r="L87" s="80"/>
      <c r="M87" s="80"/>
      <c r="N87" s="80"/>
      <c r="O87" s="80"/>
      <c r="P87" s="80"/>
      <c r="Q87" s="81">
        <v>3</v>
      </c>
      <c r="R87" s="82"/>
      <c r="S87" s="83"/>
      <c r="T87" s="84">
        <v>3</v>
      </c>
      <c r="U87" s="82">
        <f>U15+U16+U19+U22+U23+U26+U34+U36+U40+U43+U45+U46+U47+U50+U52+U53+U54+U55+U57+U59+U60+U61+U62+U63+U65+U67+U70+U71</f>
        <v>9896291.6699999981</v>
      </c>
      <c r="V87" s="85"/>
      <c r="W87" s="86">
        <f t="shared" si="15"/>
        <v>9896291.6699999981</v>
      </c>
      <c r="X87" s="1"/>
      <c r="Y87" s="68"/>
      <c r="Z87" s="5"/>
      <c r="AA87" s="5"/>
    </row>
    <row r="88" spans="1:27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87">
        <v>4</v>
      </c>
      <c r="R88" s="88"/>
      <c r="S88" s="83"/>
      <c r="T88" s="89">
        <v>4</v>
      </c>
      <c r="U88" s="88">
        <f>U33+U35+U37+U39+U41+U42+U44+U48+U49+U51+U56+U58+U64+U66+U68+U69</f>
        <v>0</v>
      </c>
      <c r="V88" s="90"/>
      <c r="W88" s="91">
        <f t="shared" si="15"/>
        <v>0</v>
      </c>
      <c r="X88" s="5"/>
      <c r="Y88" s="5"/>
      <c r="Z88" s="5"/>
      <c r="AA88" s="5"/>
    </row>
    <row r="89" spans="1:27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152" t="s">
        <v>130</v>
      </c>
      <c r="L89" s="153"/>
      <c r="M89" s="153"/>
      <c r="N89" s="154"/>
      <c r="O89" s="5"/>
      <c r="P89" s="5"/>
      <c r="Q89" s="134" t="s">
        <v>131</v>
      </c>
      <c r="R89" s="135"/>
      <c r="S89" s="63"/>
      <c r="T89" s="136" t="s">
        <v>132</v>
      </c>
      <c r="U89" s="135"/>
      <c r="V89" s="90"/>
      <c r="W89" s="85"/>
      <c r="Y89" s="5"/>
      <c r="Z89" s="5"/>
      <c r="AA89" s="5"/>
    </row>
    <row r="90" spans="1:27" ht="14.25" customHeight="1">
      <c r="A90" s="5"/>
      <c r="B90" s="5"/>
      <c r="C90" s="5" t="s">
        <v>133</v>
      </c>
      <c r="D90" s="5"/>
      <c r="E90" s="5"/>
      <c r="F90" s="132" t="s">
        <v>134</v>
      </c>
      <c r="G90" s="133"/>
      <c r="H90" s="133"/>
      <c r="I90" s="133"/>
      <c r="J90" s="5"/>
      <c r="K90" s="92"/>
      <c r="L90" s="92"/>
      <c r="M90" s="92"/>
      <c r="N90" s="92"/>
      <c r="O90" s="5"/>
      <c r="P90" s="5"/>
      <c r="Q90" s="74"/>
      <c r="R90" s="74"/>
      <c r="S90" s="74"/>
      <c r="T90" s="13"/>
      <c r="U90" s="85"/>
      <c r="V90" s="90"/>
      <c r="W90" s="5"/>
      <c r="X90" s="5"/>
      <c r="Y90" s="5"/>
      <c r="Z90" s="5"/>
      <c r="AA90" s="5"/>
    </row>
    <row r="91" spans="1:27" ht="14.25" customHeight="1">
      <c r="A91" s="5"/>
      <c r="B91" s="5"/>
      <c r="C91" s="5" t="s">
        <v>135</v>
      </c>
      <c r="D91" s="5"/>
      <c r="E91" s="5"/>
      <c r="F91" s="5" t="s">
        <v>135</v>
      </c>
      <c r="G91" s="5"/>
      <c r="H91" s="5"/>
      <c r="I91" s="5"/>
      <c r="J91" s="5"/>
      <c r="K91" s="92"/>
      <c r="L91" s="92" t="s">
        <v>135</v>
      </c>
      <c r="M91" s="92"/>
      <c r="N91" s="92"/>
      <c r="O91" s="5"/>
      <c r="P91" s="5"/>
      <c r="Q91" s="80"/>
      <c r="R91" s="80"/>
      <c r="S91" s="80"/>
      <c r="T91" s="93" t="s">
        <v>136</v>
      </c>
      <c r="U91" s="94">
        <f>SUM(U86:U88)</f>
        <v>61051660.950000003</v>
      </c>
      <c r="V91" s="5"/>
      <c r="W91" s="68">
        <f>SUM(W86:W90)</f>
        <v>61051660.950000003</v>
      </c>
      <c r="X91" s="68"/>
      <c r="Y91" s="68"/>
      <c r="Z91" s="5"/>
      <c r="AA91" s="5"/>
    </row>
    <row r="92" spans="1:27" ht="14.25" customHeight="1">
      <c r="A92" s="5"/>
      <c r="B92" s="5"/>
      <c r="C92" s="5">
        <v>1</v>
      </c>
      <c r="D92" s="30">
        <f>W17+W18+W20+W21+W24+W25+W27+W28+W29</f>
        <v>51116525.25</v>
      </c>
      <c r="E92" s="5"/>
      <c r="F92" s="5">
        <v>1</v>
      </c>
      <c r="G92" s="30">
        <f>S17+S18+S20+S21+S24+S25+S27+S28+S29</f>
        <v>51194369.280000001</v>
      </c>
      <c r="H92" s="5"/>
      <c r="I92" s="5"/>
      <c r="J92" s="5"/>
      <c r="K92" s="95" t="s">
        <v>137</v>
      </c>
      <c r="L92" s="95">
        <v>1</v>
      </c>
      <c r="M92" s="96">
        <f>L17+L18+L20+L21+L24+L25+L27+L28+L29</f>
        <v>20346257.030000001</v>
      </c>
      <c r="N92" s="97">
        <f>M92-M93+Q73</f>
        <v>0</v>
      </c>
      <c r="O92" s="5"/>
      <c r="P92" s="5"/>
      <c r="Q92" s="5"/>
      <c r="R92" s="98"/>
      <c r="S92" s="5"/>
      <c r="T92" s="5"/>
      <c r="U92" s="5"/>
      <c r="V92" s="5"/>
      <c r="W92" s="5"/>
      <c r="X92" s="68"/>
      <c r="Y92" s="5"/>
      <c r="Z92" s="5"/>
      <c r="AA92" s="5"/>
    </row>
    <row r="93" spans="1:27" ht="14.25" customHeight="1">
      <c r="A93" s="5"/>
      <c r="B93" s="5"/>
      <c r="C93" s="5">
        <v>3</v>
      </c>
      <c r="D93" s="30">
        <f>W15+W16+W19+W22+W23+W26+W34+W36+W40+W43+W45+W46+W47+W50+W52+W53+W54+W55+W57+W59+W60+W61+W62+W63+W65+W67+W70+W71</f>
        <v>9285793.1799999997</v>
      </c>
      <c r="E93" s="5"/>
      <c r="F93" s="5">
        <v>3</v>
      </c>
      <c r="G93" s="30">
        <f>S15+S16+S19+S22+S23+S26+S34+S36+S40+S43+S45+S46+S47+S50+S52+S53+S54+S55+S57+S59+S60+S61+S62+S63+S65+S67+S70+S71</f>
        <v>47815482.549999997</v>
      </c>
      <c r="H93" s="5"/>
      <c r="I93" s="5"/>
      <c r="J93" s="5"/>
      <c r="K93" s="92" t="s">
        <v>138</v>
      </c>
      <c r="L93" s="92">
        <v>1</v>
      </c>
      <c r="M93" s="99">
        <f>M17+M18+M20+M21+M24+M25+M27+M28+M29</f>
        <v>20346257.030000001</v>
      </c>
      <c r="N93" s="92"/>
      <c r="O93" s="5"/>
      <c r="P93" s="5"/>
      <c r="Q93" s="5"/>
      <c r="R93" s="98"/>
      <c r="S93" s="5"/>
      <c r="T93" s="5"/>
      <c r="U93" s="5"/>
      <c r="V93" s="5"/>
      <c r="W93" s="5"/>
      <c r="X93" s="68"/>
      <c r="Y93" s="68"/>
      <c r="Z93" s="5"/>
      <c r="AA93" s="5"/>
    </row>
    <row r="94" spans="1:27" ht="14.25" customHeight="1">
      <c r="A94" s="5"/>
      <c r="B94" s="5"/>
      <c r="C94" s="5">
        <v>4</v>
      </c>
      <c r="D94" s="100">
        <f>W33+W35+W37+W39+W41+W42+W44+W48+W49+W51+W56+W58+W64+W66+W68+W69</f>
        <v>0</v>
      </c>
      <c r="E94" s="5"/>
      <c r="F94" s="5">
        <v>4</v>
      </c>
      <c r="G94" s="30">
        <f>S33+S35+S37+S39+S41+S42+S44+S48+S49+S51+S56+S58+S64+S66+S68+S69</f>
        <v>2093387.59</v>
      </c>
      <c r="H94" s="5"/>
      <c r="I94" s="5"/>
      <c r="J94" s="5"/>
      <c r="K94" s="92"/>
      <c r="L94" s="92"/>
      <c r="M94" s="92"/>
      <c r="N94" s="92"/>
      <c r="O94" s="5"/>
      <c r="P94" s="5"/>
      <c r="Q94" s="5"/>
      <c r="R94" s="98"/>
      <c r="S94" s="5"/>
      <c r="T94" s="101" t="s">
        <v>139</v>
      </c>
      <c r="U94" s="102">
        <f>U15+U16+U19+U22+U23+U26</f>
        <v>9285793.1799999997</v>
      </c>
      <c r="V94" s="5"/>
      <c r="W94" s="68"/>
      <c r="X94" s="68"/>
      <c r="Y94" s="5"/>
      <c r="Z94" s="5"/>
      <c r="AA94" s="5"/>
    </row>
    <row r="95" spans="1:27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92"/>
      <c r="L95" s="92"/>
      <c r="M95" s="97">
        <f>M92-M93</f>
        <v>0</v>
      </c>
      <c r="N95" s="92"/>
      <c r="O95" s="5"/>
      <c r="P95" s="5"/>
      <c r="Q95" s="5"/>
      <c r="R95" s="5"/>
      <c r="S95" s="5"/>
      <c r="T95" s="101" t="s">
        <v>140</v>
      </c>
      <c r="U95" s="102">
        <f>U40+U42+U47+U48+U50+U53+U55+U56+U57+U60</f>
        <v>37015.29</v>
      </c>
      <c r="V95" s="68"/>
      <c r="W95" s="68"/>
      <c r="X95" s="68"/>
      <c r="Y95" s="5"/>
      <c r="Z95" s="5"/>
      <c r="AA95" s="5"/>
    </row>
    <row r="96" spans="1:27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92"/>
      <c r="L96" s="92"/>
      <c r="M96" s="92"/>
      <c r="N96" s="92"/>
      <c r="O96" s="5"/>
      <c r="P96" s="5"/>
      <c r="Q96" s="5"/>
      <c r="R96" s="5"/>
      <c r="S96" s="5"/>
      <c r="T96" s="101" t="s">
        <v>136</v>
      </c>
      <c r="U96" s="102">
        <f>U94+U95</f>
        <v>9322808.4699999988</v>
      </c>
      <c r="V96" s="68"/>
      <c r="W96" s="68"/>
      <c r="X96" s="68"/>
      <c r="Y96" s="5"/>
      <c r="Z96" s="5"/>
      <c r="AA96" s="5"/>
    </row>
    <row r="97" spans="1:2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92"/>
      <c r="L97" s="92" t="s">
        <v>141</v>
      </c>
      <c r="M97" s="92"/>
      <c r="N97" s="92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95" t="s">
        <v>137</v>
      </c>
      <c r="L98" s="95">
        <v>3</v>
      </c>
      <c r="M98" s="96">
        <f>L15+L16+L19+L22+L23+L26+L34+L36+L40+L43+L45+L46+L47+L50+L52+L53+L54+L55+L57+L59+L60+L61+L62+L63+L65+L67+L70+L71</f>
        <v>4916890.21</v>
      </c>
      <c r="N98" s="97">
        <f>M98-M99</f>
        <v>488484.10000000056</v>
      </c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92" t="s">
        <v>142</v>
      </c>
      <c r="L99" s="92">
        <v>3</v>
      </c>
      <c r="M99" s="99">
        <f>M15+M16+M19+M22+M23+M26+M34+M36+M40+M43+M45+M46+M47+M50+M52+M53+M54+M55+M57+M59+M60+M61+M62+M63+M65+M67+M70+M71</f>
        <v>4428406.1099999994</v>
      </c>
      <c r="N99" s="92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4.25" customHeight="1">
      <c r="A100" s="5"/>
      <c r="B100" s="5"/>
      <c r="C100" s="5"/>
      <c r="D100" s="68"/>
      <c r="E100" s="5"/>
      <c r="F100" s="5"/>
      <c r="G100" s="5"/>
      <c r="H100" s="5"/>
      <c r="I100" s="5"/>
      <c r="J100" s="5"/>
      <c r="K100" s="92"/>
      <c r="L100" s="92"/>
      <c r="M100" s="92"/>
      <c r="N100" s="92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92"/>
      <c r="L101" s="92"/>
      <c r="M101" s="97">
        <f>M98-M99</f>
        <v>488484.10000000056</v>
      </c>
      <c r="N101" s="92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92"/>
      <c r="L102" s="92"/>
      <c r="M102" s="92"/>
      <c r="N102" s="92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92"/>
      <c r="L103" s="92" t="s">
        <v>135</v>
      </c>
      <c r="M103" s="92"/>
      <c r="N103" s="92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95" t="s">
        <v>143</v>
      </c>
      <c r="L104" s="95">
        <v>4</v>
      </c>
      <c r="M104" s="96">
        <f>L33+L35+L37+L39+L41+L42+L44+L48+L49+L51+L56+L58+L64+L66+L68+L69</f>
        <v>559620</v>
      </c>
      <c r="N104" s="97">
        <f>M104-M105</f>
        <v>-1350000</v>
      </c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92" t="s">
        <v>144</v>
      </c>
      <c r="L105" s="92">
        <v>4</v>
      </c>
      <c r="M105" s="99">
        <f>M33+M35+M37+M39+M41+M42+M44+M48+M49+M51+M56+M58+M64+M66+M68+M69</f>
        <v>1909620</v>
      </c>
      <c r="N105" s="92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92"/>
      <c r="L106" s="92"/>
      <c r="M106" s="92"/>
      <c r="N106" s="97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68">
        <f>M104-M105</f>
        <v>-1350000</v>
      </c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68">
        <f>N92+N98+N104</f>
        <v>-861515.89999999944</v>
      </c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ht="1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ht="14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:27" ht="14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:27" ht="14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1:27" ht="14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</sheetData>
  <mergeCells count="31">
    <mergeCell ref="A1:C1"/>
    <mergeCell ref="A2:C2"/>
    <mergeCell ref="A3:E3"/>
    <mergeCell ref="A4:E4"/>
    <mergeCell ref="A6:E6"/>
    <mergeCell ref="A7:E7"/>
    <mergeCell ref="A10:X10"/>
    <mergeCell ref="K12:K13"/>
    <mergeCell ref="L12:M12"/>
    <mergeCell ref="N12:N13"/>
    <mergeCell ref="O12:O13"/>
    <mergeCell ref="P12:Q12"/>
    <mergeCell ref="R12:R13"/>
    <mergeCell ref="S12:X12"/>
    <mergeCell ref="A12:J12"/>
    <mergeCell ref="A13:B13"/>
    <mergeCell ref="C13:C14"/>
    <mergeCell ref="D13:D14"/>
    <mergeCell ref="E13:F13"/>
    <mergeCell ref="G13:G14"/>
    <mergeCell ref="H13:I13"/>
    <mergeCell ref="F90:I90"/>
    <mergeCell ref="Q89:R89"/>
    <mergeCell ref="T89:U89"/>
    <mergeCell ref="J13:J14"/>
    <mergeCell ref="A30:J30"/>
    <mergeCell ref="A72:J72"/>
    <mergeCell ref="A73:J73"/>
    <mergeCell ref="A76:M76"/>
    <mergeCell ref="A78:H80"/>
    <mergeCell ref="K89:N8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A1005"/>
  <sheetViews>
    <sheetView workbookViewId="0"/>
  </sheetViews>
  <sheetFormatPr defaultColWidth="12.625" defaultRowHeight="15" customHeight="1"/>
  <cols>
    <col min="1" max="1" width="9.125" customWidth="1"/>
    <col min="2" max="2" width="9.875" customWidth="1"/>
    <col min="3" max="3" width="9.125" customWidth="1"/>
    <col min="4" max="4" width="14" customWidth="1"/>
    <col min="5" max="5" width="9.125" customWidth="1"/>
    <col min="6" max="6" width="11.375" customWidth="1"/>
    <col min="7" max="7" width="14" customWidth="1"/>
    <col min="8" max="8" width="13" customWidth="1"/>
    <col min="9" max="10" width="9.125" customWidth="1"/>
    <col min="11" max="11" width="13.25" customWidth="1"/>
    <col min="12" max="12" width="10.375" customWidth="1"/>
    <col min="13" max="13" width="14" customWidth="1"/>
    <col min="14" max="14" width="13.625" customWidth="1"/>
    <col min="15" max="16" width="9.125" customWidth="1"/>
    <col min="17" max="17" width="10.375" customWidth="1"/>
    <col min="18" max="18" width="12.75" customWidth="1"/>
    <col min="19" max="19" width="11.75" customWidth="1"/>
    <col min="20" max="20" width="12.375" customWidth="1"/>
    <col min="21" max="21" width="13.875" customWidth="1"/>
    <col min="22" max="22" width="9.125" customWidth="1"/>
    <col min="23" max="23" width="14.625" customWidth="1"/>
    <col min="24" max="24" width="9.125" customWidth="1"/>
    <col min="25" max="25" width="10.75" customWidth="1"/>
    <col min="26" max="27" width="9.125" customWidth="1"/>
  </cols>
  <sheetData>
    <row r="1" spans="1:27" ht="14.25" customHeight="1">
      <c r="A1" s="155" t="s">
        <v>0</v>
      </c>
      <c r="B1" s="140"/>
      <c r="C1" s="140"/>
      <c r="D1" s="140"/>
      <c r="E1" s="140"/>
      <c r="F1" s="135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5"/>
      <c r="W1" s="5"/>
      <c r="X1" s="5"/>
      <c r="Y1" s="5"/>
      <c r="Z1" s="5"/>
      <c r="AA1" s="5"/>
    </row>
    <row r="2" spans="1:27" ht="14.25" customHeight="1">
      <c r="A2" s="159" t="s">
        <v>1</v>
      </c>
      <c r="B2" s="145"/>
      <c r="C2" s="145"/>
      <c r="D2" s="145"/>
      <c r="E2" s="145"/>
      <c r="F2" s="146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5"/>
      <c r="W2" s="5"/>
      <c r="X2" s="5"/>
      <c r="Y2" s="5"/>
      <c r="Z2" s="5"/>
      <c r="AA2" s="5"/>
    </row>
    <row r="3" spans="1:27" ht="14.25" customHeight="1">
      <c r="A3" s="159" t="s">
        <v>2</v>
      </c>
      <c r="B3" s="145"/>
      <c r="C3" s="145"/>
      <c r="D3" s="145"/>
      <c r="E3" s="145"/>
      <c r="F3" s="146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5"/>
      <c r="W3" s="5"/>
      <c r="X3" s="5"/>
      <c r="Y3" s="5"/>
      <c r="Z3" s="5"/>
      <c r="AA3" s="5"/>
    </row>
    <row r="4" spans="1:27" ht="14.25" customHeight="1">
      <c r="A4" s="155" t="s">
        <v>145</v>
      </c>
      <c r="B4" s="140"/>
      <c r="C4" s="140"/>
      <c r="D4" s="140"/>
      <c r="E4" s="140"/>
      <c r="F4" s="135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5"/>
      <c r="W4" s="5"/>
      <c r="X4" s="5"/>
      <c r="Y4" s="5"/>
      <c r="Z4" s="5"/>
      <c r="AA4" s="5"/>
    </row>
    <row r="5" spans="1:27" ht="14.25" customHeight="1">
      <c r="A5" s="8" t="s">
        <v>4</v>
      </c>
      <c r="B5" s="8"/>
      <c r="C5" s="8"/>
      <c r="D5" s="8"/>
      <c r="E5" s="8"/>
      <c r="F5" s="8"/>
      <c r="G5" s="9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5"/>
      <c r="W5" s="5"/>
      <c r="X5" s="5"/>
      <c r="Y5" s="5"/>
      <c r="Z5" s="5"/>
      <c r="AA5" s="5"/>
    </row>
    <row r="6" spans="1:27" ht="14.25" customHeight="1">
      <c r="A6" s="155" t="s">
        <v>146</v>
      </c>
      <c r="B6" s="140"/>
      <c r="C6" s="140"/>
      <c r="D6" s="140"/>
      <c r="E6" s="140"/>
      <c r="F6" s="135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5"/>
      <c r="W6" s="5"/>
      <c r="X6" s="5"/>
      <c r="Y6" s="5"/>
      <c r="Z6" s="5"/>
      <c r="AA6" s="5"/>
    </row>
    <row r="7" spans="1:27" ht="14.25" customHeight="1">
      <c r="A7" s="155" t="s">
        <v>147</v>
      </c>
      <c r="B7" s="140"/>
      <c r="C7" s="140"/>
      <c r="D7" s="140"/>
      <c r="E7" s="140"/>
      <c r="F7" s="135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5"/>
      <c r="W7" s="5"/>
      <c r="X7" s="5"/>
      <c r="Y7" s="5"/>
      <c r="Z7" s="5"/>
      <c r="AA7" s="5"/>
    </row>
    <row r="8" spans="1:27" ht="14.25" customHeight="1">
      <c r="A8" s="5"/>
      <c r="B8" s="5"/>
      <c r="C8" s="5"/>
      <c r="D8" s="10"/>
      <c r="E8" s="1"/>
      <c r="F8" s="1"/>
      <c r="G8" s="1"/>
      <c r="H8" s="2"/>
      <c r="I8" s="2"/>
      <c r="J8" s="3"/>
      <c r="K8" s="1"/>
      <c r="L8" s="1"/>
      <c r="M8" s="1"/>
      <c r="N8" s="1"/>
      <c r="O8" s="1"/>
      <c r="P8" s="1"/>
      <c r="Q8" s="1"/>
      <c r="R8" s="1"/>
      <c r="S8" s="1"/>
      <c r="T8" s="1"/>
      <c r="U8" s="4"/>
      <c r="V8" s="5"/>
      <c r="W8" s="5"/>
      <c r="X8" s="5"/>
      <c r="Y8" s="5"/>
      <c r="Z8" s="5"/>
      <c r="AA8" s="5"/>
    </row>
    <row r="9" spans="1:27" ht="14.25" customHeight="1">
      <c r="A9" s="5"/>
      <c r="B9" s="5"/>
      <c r="C9" s="5"/>
      <c r="D9" s="11"/>
      <c r="E9" s="1"/>
      <c r="F9" s="1"/>
      <c r="G9" s="1"/>
      <c r="H9" s="2"/>
      <c r="I9" s="2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4"/>
      <c r="V9" s="5"/>
      <c r="W9" s="5"/>
      <c r="X9" s="5"/>
      <c r="Y9" s="5"/>
      <c r="Z9" s="5"/>
      <c r="AA9" s="5"/>
    </row>
    <row r="10" spans="1:27" ht="14.25" customHeight="1">
      <c r="A10" s="156" t="s">
        <v>7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5"/>
      <c r="Z10" s="5"/>
      <c r="AA10" s="5"/>
    </row>
    <row r="11" spans="1:27" ht="14.25" customHeight="1">
      <c r="A11" s="1"/>
      <c r="B11" s="1"/>
      <c r="C11" s="1"/>
      <c r="D11" s="1"/>
      <c r="E11" s="1"/>
      <c r="F11" s="1"/>
      <c r="G11" s="1"/>
      <c r="H11" s="2"/>
      <c r="I11" s="2"/>
      <c r="J11" s="12"/>
      <c r="K11" s="1"/>
      <c r="L11" s="1"/>
      <c r="M11" s="1"/>
      <c r="N11" s="1"/>
      <c r="O11" s="1"/>
      <c r="P11" s="1"/>
      <c r="Q11" s="1"/>
      <c r="R11" s="1"/>
      <c r="S11" s="1"/>
      <c r="T11" s="1"/>
      <c r="U11" s="103"/>
      <c r="V11" s="1"/>
      <c r="W11" s="13"/>
      <c r="X11" s="1"/>
      <c r="Y11" s="5"/>
      <c r="Z11" s="5"/>
      <c r="AA11" s="5"/>
    </row>
    <row r="12" spans="1:27" ht="14.25" customHeight="1">
      <c r="A12" s="158" t="s">
        <v>8</v>
      </c>
      <c r="B12" s="140"/>
      <c r="C12" s="140"/>
      <c r="D12" s="140"/>
      <c r="E12" s="140"/>
      <c r="F12" s="140"/>
      <c r="G12" s="140"/>
      <c r="H12" s="140"/>
      <c r="I12" s="140"/>
      <c r="J12" s="135"/>
      <c r="K12" s="157" t="s">
        <v>9</v>
      </c>
      <c r="L12" s="158" t="s">
        <v>10</v>
      </c>
      <c r="M12" s="135"/>
      <c r="N12" s="157" t="s">
        <v>11</v>
      </c>
      <c r="O12" s="157" t="s">
        <v>12</v>
      </c>
      <c r="P12" s="158" t="s">
        <v>13</v>
      </c>
      <c r="Q12" s="135"/>
      <c r="R12" s="157" t="s">
        <v>14</v>
      </c>
      <c r="S12" s="158" t="s">
        <v>15</v>
      </c>
      <c r="T12" s="140"/>
      <c r="U12" s="140"/>
      <c r="V12" s="140"/>
      <c r="W12" s="140"/>
      <c r="X12" s="135"/>
      <c r="Y12" s="5"/>
      <c r="Z12" s="5"/>
      <c r="AA12" s="5"/>
    </row>
    <row r="13" spans="1:27" ht="14.25" customHeight="1">
      <c r="A13" s="158" t="s">
        <v>16</v>
      </c>
      <c r="B13" s="135"/>
      <c r="C13" s="157" t="s">
        <v>17</v>
      </c>
      <c r="D13" s="157" t="s">
        <v>18</v>
      </c>
      <c r="E13" s="158" t="s">
        <v>19</v>
      </c>
      <c r="F13" s="135"/>
      <c r="G13" s="157" t="s">
        <v>20</v>
      </c>
      <c r="H13" s="158" t="s">
        <v>21</v>
      </c>
      <c r="I13" s="135"/>
      <c r="J13" s="137" t="s">
        <v>22</v>
      </c>
      <c r="K13" s="138"/>
      <c r="L13" s="14" t="s">
        <v>23</v>
      </c>
      <c r="M13" s="14" t="s">
        <v>24</v>
      </c>
      <c r="N13" s="138"/>
      <c r="O13" s="138"/>
      <c r="P13" s="15" t="s">
        <v>25</v>
      </c>
      <c r="Q13" s="15" t="s">
        <v>26</v>
      </c>
      <c r="R13" s="138"/>
      <c r="S13" s="16" t="s">
        <v>27</v>
      </c>
      <c r="T13" s="17" t="s">
        <v>28</v>
      </c>
      <c r="U13" s="16" t="s">
        <v>29</v>
      </c>
      <c r="V13" s="18" t="s">
        <v>28</v>
      </c>
      <c r="W13" s="19" t="s">
        <v>30</v>
      </c>
      <c r="X13" s="18" t="s">
        <v>28</v>
      </c>
      <c r="Y13" s="5"/>
      <c r="Z13" s="5"/>
      <c r="AA13" s="5"/>
    </row>
    <row r="14" spans="1:27" ht="31.5" customHeight="1">
      <c r="A14" s="16" t="s">
        <v>31</v>
      </c>
      <c r="B14" s="16" t="s">
        <v>19</v>
      </c>
      <c r="C14" s="138"/>
      <c r="D14" s="138"/>
      <c r="E14" s="15" t="s">
        <v>32</v>
      </c>
      <c r="F14" s="15" t="s">
        <v>33</v>
      </c>
      <c r="G14" s="138"/>
      <c r="H14" s="15" t="s">
        <v>31</v>
      </c>
      <c r="I14" s="15" t="s">
        <v>19</v>
      </c>
      <c r="J14" s="138"/>
      <c r="K14" s="16" t="s">
        <v>34</v>
      </c>
      <c r="L14" s="15" t="s">
        <v>35</v>
      </c>
      <c r="M14" s="15" t="s">
        <v>36</v>
      </c>
      <c r="N14" s="15" t="s">
        <v>37</v>
      </c>
      <c r="O14" s="15" t="s">
        <v>38</v>
      </c>
      <c r="P14" s="15" t="s">
        <v>39</v>
      </c>
      <c r="Q14" s="15" t="s">
        <v>40</v>
      </c>
      <c r="R14" s="16" t="s">
        <v>41</v>
      </c>
      <c r="S14" s="20" t="s">
        <v>42</v>
      </c>
      <c r="T14" s="21" t="s">
        <v>43</v>
      </c>
      <c r="U14" s="20" t="s">
        <v>44</v>
      </c>
      <c r="V14" s="21" t="s">
        <v>45</v>
      </c>
      <c r="W14" s="19" t="s">
        <v>46</v>
      </c>
      <c r="X14" s="21" t="s">
        <v>47</v>
      </c>
      <c r="Y14" s="5"/>
      <c r="Z14" s="5"/>
      <c r="AA14" s="5"/>
    </row>
    <row r="15" spans="1:27" ht="63" customHeight="1">
      <c r="A15" s="22" t="s">
        <v>48</v>
      </c>
      <c r="B15" s="23" t="s">
        <v>49</v>
      </c>
      <c r="C15" s="23" t="s">
        <v>50</v>
      </c>
      <c r="D15" s="23" t="s">
        <v>51</v>
      </c>
      <c r="E15" s="23" t="s">
        <v>52</v>
      </c>
      <c r="F15" s="23" t="s">
        <v>53</v>
      </c>
      <c r="G15" s="23" t="s">
        <v>54</v>
      </c>
      <c r="H15" s="104" t="s">
        <v>148</v>
      </c>
      <c r="I15" s="23" t="s">
        <v>56</v>
      </c>
      <c r="J15" s="24">
        <v>3</v>
      </c>
      <c r="K15" s="105">
        <v>2000000</v>
      </c>
      <c r="L15" s="105">
        <v>0</v>
      </c>
      <c r="M15" s="105">
        <v>0</v>
      </c>
      <c r="N15" s="26">
        <f t="shared" ref="N15:N30" si="0">K15+L15-M15</f>
        <v>2000000</v>
      </c>
      <c r="O15" s="27"/>
      <c r="P15" s="27"/>
      <c r="Q15" s="27"/>
      <c r="R15" s="26">
        <f t="shared" ref="R15:R30" si="1">N15-O15+P15+Q15</f>
        <v>2000000</v>
      </c>
      <c r="S15" s="105">
        <v>0</v>
      </c>
      <c r="T15" s="28">
        <f t="shared" ref="T15:T31" si="2">IF(R15&gt;0,S15/R15,0)</f>
        <v>0</v>
      </c>
      <c r="U15" s="106">
        <v>0</v>
      </c>
      <c r="V15" s="28">
        <f t="shared" ref="V15:V31" si="3">IF(R15&gt;0,U15/R15,0)</f>
        <v>0</v>
      </c>
      <c r="W15" s="105">
        <v>0</v>
      </c>
      <c r="X15" s="28">
        <f t="shared" ref="X15:X31" si="4">IF(R15&gt;0,W15/R15,0)</f>
        <v>0</v>
      </c>
      <c r="Y15" s="5"/>
      <c r="Z15" s="5"/>
      <c r="AA15" s="5"/>
    </row>
    <row r="16" spans="1:27" ht="63" customHeight="1">
      <c r="A16" s="22" t="s">
        <v>48</v>
      </c>
      <c r="B16" s="23" t="s">
        <v>49</v>
      </c>
      <c r="C16" s="23" t="s">
        <v>50</v>
      </c>
      <c r="D16" s="23" t="s">
        <v>57</v>
      </c>
      <c r="E16" s="23" t="s">
        <v>52</v>
      </c>
      <c r="F16" s="23" t="s">
        <v>58</v>
      </c>
      <c r="G16" s="23" t="s">
        <v>54</v>
      </c>
      <c r="H16" s="104" t="s">
        <v>148</v>
      </c>
      <c r="I16" s="23" t="s">
        <v>56</v>
      </c>
      <c r="J16" s="24">
        <v>3</v>
      </c>
      <c r="K16" s="105">
        <v>76324000</v>
      </c>
      <c r="L16" s="105">
        <v>0</v>
      </c>
      <c r="M16" s="105">
        <v>0</v>
      </c>
      <c r="N16" s="26">
        <f t="shared" si="0"/>
        <v>76324000</v>
      </c>
      <c r="O16" s="27"/>
      <c r="P16" s="27"/>
      <c r="Q16" s="27"/>
      <c r="R16" s="26">
        <f t="shared" si="1"/>
        <v>76324000</v>
      </c>
      <c r="S16" s="105">
        <v>6108824.79</v>
      </c>
      <c r="T16" s="28">
        <f t="shared" si="2"/>
        <v>8.0038058670929196E-2</v>
      </c>
      <c r="U16" s="106">
        <v>6108824.79</v>
      </c>
      <c r="V16" s="28">
        <f t="shared" si="3"/>
        <v>8.0038058670929196E-2</v>
      </c>
      <c r="W16" s="105">
        <v>6108824.79</v>
      </c>
      <c r="X16" s="28">
        <f t="shared" si="4"/>
        <v>8.0038058670929196E-2</v>
      </c>
      <c r="Y16" s="30"/>
      <c r="Z16" s="5"/>
      <c r="AA16" s="5"/>
    </row>
    <row r="17" spans="1:27" ht="63" customHeight="1">
      <c r="A17" s="22" t="s">
        <v>48</v>
      </c>
      <c r="B17" s="23" t="s">
        <v>49</v>
      </c>
      <c r="C17" s="23" t="s">
        <v>50</v>
      </c>
      <c r="D17" s="23" t="s">
        <v>59</v>
      </c>
      <c r="E17" s="23" t="s">
        <v>52</v>
      </c>
      <c r="F17" s="23" t="s">
        <v>60</v>
      </c>
      <c r="G17" s="23" t="s">
        <v>54</v>
      </c>
      <c r="H17" s="104" t="s">
        <v>148</v>
      </c>
      <c r="I17" s="23" t="s">
        <v>56</v>
      </c>
      <c r="J17" s="31">
        <v>1</v>
      </c>
      <c r="K17" s="105">
        <v>461873000</v>
      </c>
      <c r="L17" s="105">
        <v>1782000</v>
      </c>
      <c r="M17" s="105">
        <v>1782000</v>
      </c>
      <c r="N17" s="26">
        <f t="shared" si="0"/>
        <v>461873000</v>
      </c>
      <c r="O17" s="27"/>
      <c r="P17" s="27"/>
      <c r="Q17" s="27"/>
      <c r="R17" s="26">
        <f t="shared" si="1"/>
        <v>461873000</v>
      </c>
      <c r="S17" s="105">
        <v>35422066.520000003</v>
      </c>
      <c r="T17" s="28">
        <f t="shared" si="2"/>
        <v>7.6692221714627182E-2</v>
      </c>
      <c r="U17" s="107">
        <v>35422066.520000003</v>
      </c>
      <c r="V17" s="28">
        <f t="shared" si="3"/>
        <v>7.6692221714627182E-2</v>
      </c>
      <c r="W17" s="105">
        <v>34850407.039999999</v>
      </c>
      <c r="X17" s="28">
        <f t="shared" si="4"/>
        <v>7.5454523299694931E-2</v>
      </c>
      <c r="Y17" s="5"/>
      <c r="Z17" s="5"/>
      <c r="AA17" s="5"/>
    </row>
    <row r="18" spans="1:27" ht="63" customHeight="1">
      <c r="A18" s="22" t="s">
        <v>48</v>
      </c>
      <c r="B18" s="23" t="s">
        <v>49</v>
      </c>
      <c r="C18" s="33" t="s">
        <v>50</v>
      </c>
      <c r="D18" s="33" t="s">
        <v>61</v>
      </c>
      <c r="E18" s="23" t="s">
        <v>52</v>
      </c>
      <c r="F18" s="33" t="s">
        <v>62</v>
      </c>
      <c r="G18" s="33" t="s">
        <v>54</v>
      </c>
      <c r="H18" s="104" t="s">
        <v>148</v>
      </c>
      <c r="I18" s="33" t="s">
        <v>63</v>
      </c>
      <c r="J18" s="31">
        <v>1</v>
      </c>
      <c r="K18" s="108">
        <v>120000</v>
      </c>
      <c r="L18" s="109">
        <v>0</v>
      </c>
      <c r="M18" s="109">
        <v>0</v>
      </c>
      <c r="N18" s="36">
        <f t="shared" si="0"/>
        <v>120000</v>
      </c>
      <c r="O18" s="36"/>
      <c r="P18" s="36"/>
      <c r="Q18" s="36"/>
      <c r="R18" s="36">
        <f t="shared" si="1"/>
        <v>120000</v>
      </c>
      <c r="S18" s="110">
        <v>0</v>
      </c>
      <c r="T18" s="38">
        <f t="shared" si="2"/>
        <v>0</v>
      </c>
      <c r="U18" s="107">
        <v>0</v>
      </c>
      <c r="V18" s="38">
        <f t="shared" si="3"/>
        <v>0</v>
      </c>
      <c r="W18" s="109">
        <v>0</v>
      </c>
      <c r="X18" s="38">
        <f t="shared" si="4"/>
        <v>0</v>
      </c>
      <c r="Y18" s="5"/>
      <c r="Z18" s="5"/>
      <c r="AA18" s="5"/>
    </row>
    <row r="19" spans="1:27" ht="63" customHeight="1">
      <c r="A19" s="22" t="s">
        <v>48</v>
      </c>
      <c r="B19" s="23" t="s">
        <v>49</v>
      </c>
      <c r="C19" s="23" t="s">
        <v>50</v>
      </c>
      <c r="D19" s="23" t="s">
        <v>64</v>
      </c>
      <c r="E19" s="23" t="s">
        <v>65</v>
      </c>
      <c r="F19" s="23" t="s">
        <v>66</v>
      </c>
      <c r="G19" s="23" t="s">
        <v>54</v>
      </c>
      <c r="H19" s="104" t="s">
        <v>148</v>
      </c>
      <c r="I19" s="23" t="s">
        <v>56</v>
      </c>
      <c r="J19" s="24">
        <v>3</v>
      </c>
      <c r="K19" s="105">
        <v>21351000</v>
      </c>
      <c r="L19" s="105">
        <v>0</v>
      </c>
      <c r="M19" s="105">
        <v>0</v>
      </c>
      <c r="N19" s="26">
        <f t="shared" si="0"/>
        <v>21351000</v>
      </c>
      <c r="O19" s="27"/>
      <c r="P19" s="27"/>
      <c r="Q19" s="27"/>
      <c r="R19" s="26">
        <f t="shared" si="1"/>
        <v>21351000</v>
      </c>
      <c r="S19" s="105">
        <v>1742171</v>
      </c>
      <c r="T19" s="28">
        <f t="shared" si="2"/>
        <v>8.1596693363308506E-2</v>
      </c>
      <c r="U19" s="106">
        <v>1742171</v>
      </c>
      <c r="V19" s="28">
        <f t="shared" si="3"/>
        <v>8.1596693363308506E-2</v>
      </c>
      <c r="W19" s="105">
        <v>1742171</v>
      </c>
      <c r="X19" s="28">
        <f t="shared" si="4"/>
        <v>8.1596693363308506E-2</v>
      </c>
      <c r="Y19" s="5"/>
      <c r="Z19" s="5"/>
      <c r="AA19" s="5"/>
    </row>
    <row r="20" spans="1:27" ht="63" customHeight="1">
      <c r="A20" s="22" t="s">
        <v>48</v>
      </c>
      <c r="B20" s="23" t="s">
        <v>49</v>
      </c>
      <c r="C20" s="23" t="s">
        <v>50</v>
      </c>
      <c r="D20" s="104" t="s">
        <v>113</v>
      </c>
      <c r="E20" s="23" t="s">
        <v>65</v>
      </c>
      <c r="F20" s="104" t="s">
        <v>149</v>
      </c>
      <c r="G20" s="23" t="s">
        <v>54</v>
      </c>
      <c r="H20" s="104" t="s">
        <v>148</v>
      </c>
      <c r="I20" s="23" t="s">
        <v>56</v>
      </c>
      <c r="J20" s="24">
        <v>3</v>
      </c>
      <c r="K20" s="105">
        <v>475000</v>
      </c>
      <c r="L20" s="105">
        <v>0</v>
      </c>
      <c r="M20" s="105">
        <v>0</v>
      </c>
      <c r="N20" s="26">
        <f t="shared" si="0"/>
        <v>475000</v>
      </c>
      <c r="O20" s="27"/>
      <c r="P20" s="27"/>
      <c r="Q20" s="27"/>
      <c r="R20" s="26">
        <f t="shared" si="1"/>
        <v>475000</v>
      </c>
      <c r="S20" s="105">
        <v>0</v>
      </c>
      <c r="T20" s="28">
        <f t="shared" si="2"/>
        <v>0</v>
      </c>
      <c r="U20" s="111">
        <v>0</v>
      </c>
      <c r="V20" s="28">
        <f t="shared" si="3"/>
        <v>0</v>
      </c>
      <c r="W20" s="105">
        <v>0</v>
      </c>
      <c r="X20" s="28">
        <f t="shared" si="4"/>
        <v>0</v>
      </c>
      <c r="Y20" s="5"/>
      <c r="Z20" s="5"/>
      <c r="AA20" s="5"/>
    </row>
    <row r="21" spans="1:27" ht="63" customHeight="1">
      <c r="A21" s="22" t="s">
        <v>48</v>
      </c>
      <c r="B21" s="23" t="s">
        <v>49</v>
      </c>
      <c r="C21" s="23" t="s">
        <v>50</v>
      </c>
      <c r="D21" s="23" t="s">
        <v>67</v>
      </c>
      <c r="E21" s="23" t="s">
        <v>65</v>
      </c>
      <c r="F21" s="23" t="s">
        <v>68</v>
      </c>
      <c r="G21" s="23" t="s">
        <v>54</v>
      </c>
      <c r="H21" s="104" t="s">
        <v>148</v>
      </c>
      <c r="I21" s="23" t="s">
        <v>56</v>
      </c>
      <c r="J21" s="31">
        <v>1</v>
      </c>
      <c r="K21" s="105">
        <v>111000000</v>
      </c>
      <c r="L21" s="105">
        <v>1191000</v>
      </c>
      <c r="M21" s="105">
        <v>1191000</v>
      </c>
      <c r="N21" s="26">
        <f t="shared" si="0"/>
        <v>111000000</v>
      </c>
      <c r="O21" s="27"/>
      <c r="P21" s="27"/>
      <c r="Q21" s="27"/>
      <c r="R21" s="26">
        <f t="shared" si="1"/>
        <v>111000000</v>
      </c>
      <c r="S21" s="105">
        <v>9297857.4000000004</v>
      </c>
      <c r="T21" s="28">
        <f t="shared" si="2"/>
        <v>8.3764481081081088E-2</v>
      </c>
      <c r="U21" s="107">
        <v>9287676.4100000001</v>
      </c>
      <c r="V21" s="28">
        <f t="shared" si="3"/>
        <v>8.3672760450450454E-2</v>
      </c>
      <c r="W21" s="105">
        <v>8748384.4399999995</v>
      </c>
      <c r="X21" s="28">
        <f t="shared" si="4"/>
        <v>7.8814274234234233E-2</v>
      </c>
      <c r="Y21" s="5"/>
      <c r="Z21" s="5"/>
      <c r="AA21" s="5"/>
    </row>
    <row r="22" spans="1:27" ht="63" customHeight="1">
      <c r="A22" s="22" t="s">
        <v>48</v>
      </c>
      <c r="B22" s="23" t="s">
        <v>49</v>
      </c>
      <c r="C22" s="23" t="s">
        <v>50</v>
      </c>
      <c r="D22" s="23" t="s">
        <v>69</v>
      </c>
      <c r="E22" s="23" t="s">
        <v>65</v>
      </c>
      <c r="F22" s="23" t="s">
        <v>70</v>
      </c>
      <c r="G22" s="23" t="s">
        <v>54</v>
      </c>
      <c r="H22" s="104" t="s">
        <v>148</v>
      </c>
      <c r="I22" s="23" t="s">
        <v>56</v>
      </c>
      <c r="J22" s="31">
        <v>1</v>
      </c>
      <c r="K22" s="105">
        <v>131100000</v>
      </c>
      <c r="L22" s="105">
        <v>303000</v>
      </c>
      <c r="M22" s="105">
        <v>303000</v>
      </c>
      <c r="N22" s="26">
        <f t="shared" si="0"/>
        <v>131100000</v>
      </c>
      <c r="O22" s="27"/>
      <c r="P22" s="27"/>
      <c r="Q22" s="27"/>
      <c r="R22" s="26">
        <f t="shared" si="1"/>
        <v>131100000</v>
      </c>
      <c r="S22" s="105">
        <v>11693387.26</v>
      </c>
      <c r="T22" s="28">
        <f t="shared" si="2"/>
        <v>8.9194410831426388E-2</v>
      </c>
      <c r="U22" s="107">
        <v>11693387.26</v>
      </c>
      <c r="V22" s="28">
        <f t="shared" si="3"/>
        <v>8.9194410831426388E-2</v>
      </c>
      <c r="W22" s="105">
        <v>11385405.73</v>
      </c>
      <c r="X22" s="28">
        <f t="shared" si="4"/>
        <v>8.6845200076277648E-2</v>
      </c>
      <c r="Y22" s="5"/>
      <c r="Z22" s="5"/>
      <c r="AA22" s="5"/>
    </row>
    <row r="23" spans="1:27" ht="63" customHeight="1">
      <c r="A23" s="22" t="s">
        <v>48</v>
      </c>
      <c r="B23" s="23" t="s">
        <v>49</v>
      </c>
      <c r="C23" s="23" t="s">
        <v>50</v>
      </c>
      <c r="D23" s="23" t="s">
        <v>71</v>
      </c>
      <c r="E23" s="23" t="s">
        <v>65</v>
      </c>
      <c r="F23" s="23" t="s">
        <v>72</v>
      </c>
      <c r="G23" s="23" t="s">
        <v>54</v>
      </c>
      <c r="H23" s="104" t="s">
        <v>148</v>
      </c>
      <c r="I23" s="23" t="s">
        <v>56</v>
      </c>
      <c r="J23" s="24">
        <v>3</v>
      </c>
      <c r="K23" s="105">
        <v>24100000</v>
      </c>
      <c r="L23" s="105">
        <v>0</v>
      </c>
      <c r="M23" s="105">
        <v>0</v>
      </c>
      <c r="N23" s="26">
        <f t="shared" si="0"/>
        <v>24100000</v>
      </c>
      <c r="O23" s="27"/>
      <c r="P23" s="27"/>
      <c r="Q23" s="27"/>
      <c r="R23" s="26">
        <f t="shared" si="1"/>
        <v>24100000</v>
      </c>
      <c r="S23" s="105">
        <v>1931632.28</v>
      </c>
      <c r="T23" s="28">
        <f t="shared" si="2"/>
        <v>8.0150717012448136E-2</v>
      </c>
      <c r="U23" s="106">
        <v>1931632.28</v>
      </c>
      <c r="V23" s="28">
        <f t="shared" si="3"/>
        <v>8.0150717012448136E-2</v>
      </c>
      <c r="W23" s="105">
        <v>1931632.28</v>
      </c>
      <c r="X23" s="28">
        <f t="shared" si="4"/>
        <v>8.0150717012448136E-2</v>
      </c>
      <c r="Y23" s="5"/>
      <c r="Z23" s="5"/>
      <c r="AA23" s="5"/>
    </row>
    <row r="24" spans="1:27" ht="63" hidden="1" customHeight="1">
      <c r="A24" s="22" t="s">
        <v>48</v>
      </c>
      <c r="B24" s="23" t="s">
        <v>49</v>
      </c>
      <c r="C24" s="23" t="s">
        <v>73</v>
      </c>
      <c r="D24" s="23" t="s">
        <v>74</v>
      </c>
      <c r="E24" s="23" t="s">
        <v>65</v>
      </c>
      <c r="F24" s="23" t="s">
        <v>75</v>
      </c>
      <c r="G24" s="23" t="s">
        <v>54</v>
      </c>
      <c r="H24" s="23" t="s">
        <v>55</v>
      </c>
      <c r="I24" s="23" t="s">
        <v>63</v>
      </c>
      <c r="J24" s="24">
        <v>3</v>
      </c>
      <c r="K24" s="25"/>
      <c r="L24" s="25"/>
      <c r="M24" s="25"/>
      <c r="N24" s="26">
        <f t="shared" si="0"/>
        <v>0</v>
      </c>
      <c r="O24" s="27"/>
      <c r="P24" s="27"/>
      <c r="Q24" s="27"/>
      <c r="R24" s="26">
        <f t="shared" si="1"/>
        <v>0</v>
      </c>
      <c r="S24" s="25"/>
      <c r="T24" s="28">
        <f t="shared" si="2"/>
        <v>0</v>
      </c>
      <c r="U24" s="29"/>
      <c r="V24" s="28">
        <f t="shared" si="3"/>
        <v>0</v>
      </c>
      <c r="W24" s="25"/>
      <c r="X24" s="28">
        <f t="shared" si="4"/>
        <v>0</v>
      </c>
      <c r="Y24" s="5"/>
      <c r="Z24" s="5"/>
      <c r="AA24" s="5"/>
    </row>
    <row r="25" spans="1:27" ht="63" customHeight="1">
      <c r="A25" s="22" t="s">
        <v>48</v>
      </c>
      <c r="B25" s="23" t="s">
        <v>49</v>
      </c>
      <c r="C25" s="23" t="s">
        <v>76</v>
      </c>
      <c r="D25" s="23" t="s">
        <v>77</v>
      </c>
      <c r="E25" s="33" t="s">
        <v>65</v>
      </c>
      <c r="F25" s="23" t="s">
        <v>78</v>
      </c>
      <c r="G25" s="23" t="s">
        <v>54</v>
      </c>
      <c r="H25" s="104" t="s">
        <v>148</v>
      </c>
      <c r="I25" s="23" t="s">
        <v>56</v>
      </c>
      <c r="J25" s="31">
        <v>1</v>
      </c>
      <c r="K25" s="108">
        <v>120000</v>
      </c>
      <c r="L25" s="105">
        <v>0</v>
      </c>
      <c r="M25" s="105">
        <v>0</v>
      </c>
      <c r="N25" s="26">
        <f t="shared" si="0"/>
        <v>120000</v>
      </c>
      <c r="O25" s="26"/>
      <c r="P25" s="26"/>
      <c r="Q25" s="26"/>
      <c r="R25" s="26">
        <f t="shared" si="1"/>
        <v>120000</v>
      </c>
      <c r="S25" s="109">
        <v>3390</v>
      </c>
      <c r="T25" s="28">
        <f t="shared" si="2"/>
        <v>2.8250000000000001E-2</v>
      </c>
      <c r="U25" s="107">
        <v>3390</v>
      </c>
      <c r="V25" s="28">
        <f t="shared" si="3"/>
        <v>2.8250000000000001E-2</v>
      </c>
      <c r="W25" s="105">
        <v>3390</v>
      </c>
      <c r="X25" s="28">
        <f t="shared" si="4"/>
        <v>2.8250000000000001E-2</v>
      </c>
      <c r="Y25" s="5"/>
      <c r="Z25" s="5"/>
      <c r="AA25" s="5"/>
    </row>
    <row r="26" spans="1:27" ht="63" customHeight="1">
      <c r="A26" s="22" t="s">
        <v>48</v>
      </c>
      <c r="B26" s="23" t="s">
        <v>49</v>
      </c>
      <c r="C26" s="23" t="s">
        <v>79</v>
      </c>
      <c r="D26" s="23" t="s">
        <v>80</v>
      </c>
      <c r="E26" s="23" t="s">
        <v>65</v>
      </c>
      <c r="F26" s="23" t="s">
        <v>81</v>
      </c>
      <c r="G26" s="23" t="s">
        <v>54</v>
      </c>
      <c r="H26" s="104" t="s">
        <v>148</v>
      </c>
      <c r="I26" s="23" t="s">
        <v>63</v>
      </c>
      <c r="J26" s="31">
        <v>1</v>
      </c>
      <c r="K26" s="25">
        <f>115250000-K27</f>
        <v>109500000</v>
      </c>
      <c r="L26" s="105">
        <v>3160000</v>
      </c>
      <c r="M26" s="105">
        <v>3160000</v>
      </c>
      <c r="N26" s="26">
        <f t="shared" si="0"/>
        <v>109500000</v>
      </c>
      <c r="O26" s="26"/>
      <c r="P26" s="26"/>
      <c r="Q26" s="26"/>
      <c r="R26" s="26">
        <f t="shared" si="1"/>
        <v>109500000</v>
      </c>
      <c r="S26" s="25">
        <f>7560819.59-S27</f>
        <v>7122568.8399999999</v>
      </c>
      <c r="T26" s="28">
        <f t="shared" si="2"/>
        <v>6.5046290776255705E-2</v>
      </c>
      <c r="U26" s="32">
        <f>7460819.59-U27</f>
        <v>7022568.8399999999</v>
      </c>
      <c r="V26" s="28">
        <f t="shared" si="3"/>
        <v>6.413304876712328E-2</v>
      </c>
      <c r="W26" s="25">
        <f>7460819.59-W27</f>
        <v>7022568.8399999999</v>
      </c>
      <c r="X26" s="28">
        <f t="shared" si="4"/>
        <v>6.413304876712328E-2</v>
      </c>
      <c r="Y26" s="5"/>
      <c r="Z26" s="5"/>
      <c r="AA26" s="5"/>
    </row>
    <row r="27" spans="1:27" ht="63" customHeight="1">
      <c r="A27" s="22" t="s">
        <v>48</v>
      </c>
      <c r="B27" s="23" t="s">
        <v>49</v>
      </c>
      <c r="C27" s="23" t="s">
        <v>79</v>
      </c>
      <c r="D27" s="23" t="s">
        <v>80</v>
      </c>
      <c r="E27" s="23" t="s">
        <v>65</v>
      </c>
      <c r="F27" s="23" t="s">
        <v>81</v>
      </c>
      <c r="G27" s="23" t="s">
        <v>54</v>
      </c>
      <c r="H27" s="104" t="s">
        <v>148</v>
      </c>
      <c r="I27" s="23" t="s">
        <v>63</v>
      </c>
      <c r="J27" s="24">
        <v>3</v>
      </c>
      <c r="K27" s="105">
        <v>5750000</v>
      </c>
      <c r="L27" s="25"/>
      <c r="M27" s="25"/>
      <c r="N27" s="26">
        <f t="shared" si="0"/>
        <v>5750000</v>
      </c>
      <c r="O27" s="26"/>
      <c r="P27" s="26"/>
      <c r="Q27" s="26"/>
      <c r="R27" s="26">
        <f t="shared" si="1"/>
        <v>5750000</v>
      </c>
      <c r="S27" s="105">
        <v>438250.75</v>
      </c>
      <c r="T27" s="28">
        <f t="shared" si="2"/>
        <v>7.6217521739130434E-2</v>
      </c>
      <c r="U27" s="106">
        <v>438250.75</v>
      </c>
      <c r="V27" s="28">
        <f t="shared" si="3"/>
        <v>7.6217521739130434E-2</v>
      </c>
      <c r="W27" s="105">
        <v>438250.75</v>
      </c>
      <c r="X27" s="28">
        <f t="shared" si="4"/>
        <v>7.6217521739130434E-2</v>
      </c>
      <c r="Y27" s="5"/>
      <c r="Z27" s="5"/>
      <c r="AA27" s="5"/>
    </row>
    <row r="28" spans="1:27" ht="63" hidden="1" customHeight="1">
      <c r="A28" s="22" t="s">
        <v>48</v>
      </c>
      <c r="B28" s="23" t="s">
        <v>49</v>
      </c>
      <c r="C28" s="23" t="s">
        <v>79</v>
      </c>
      <c r="D28" s="23" t="s">
        <v>80</v>
      </c>
      <c r="E28" s="23" t="s">
        <v>65</v>
      </c>
      <c r="F28" s="23" t="s">
        <v>81</v>
      </c>
      <c r="G28" s="23" t="s">
        <v>54</v>
      </c>
      <c r="H28" s="23" t="s">
        <v>82</v>
      </c>
      <c r="I28" s="23" t="s">
        <v>63</v>
      </c>
      <c r="J28" s="31">
        <v>1</v>
      </c>
      <c r="K28" s="25"/>
      <c r="L28" s="25"/>
      <c r="M28" s="25"/>
      <c r="N28" s="26">
        <f t="shared" si="0"/>
        <v>0</v>
      </c>
      <c r="O28" s="26"/>
      <c r="P28" s="26"/>
      <c r="Q28" s="26"/>
      <c r="R28" s="26">
        <f t="shared" si="1"/>
        <v>0</v>
      </c>
      <c r="S28" s="25"/>
      <c r="T28" s="28">
        <f t="shared" si="2"/>
        <v>0</v>
      </c>
      <c r="U28" s="32"/>
      <c r="V28" s="28">
        <f t="shared" si="3"/>
        <v>0</v>
      </c>
      <c r="W28" s="25"/>
      <c r="X28" s="28">
        <f t="shared" si="4"/>
        <v>0</v>
      </c>
      <c r="Y28" s="5"/>
      <c r="Z28" s="5"/>
      <c r="AA28" s="5"/>
    </row>
    <row r="29" spans="1:27" ht="63" customHeight="1">
      <c r="A29" s="22" t="s">
        <v>48</v>
      </c>
      <c r="B29" s="23" t="s">
        <v>49</v>
      </c>
      <c r="C29" s="23" t="s">
        <v>83</v>
      </c>
      <c r="D29" s="23" t="s">
        <v>84</v>
      </c>
      <c r="E29" s="23" t="s">
        <v>65</v>
      </c>
      <c r="F29" s="23" t="s">
        <v>85</v>
      </c>
      <c r="G29" s="23" t="s">
        <v>54</v>
      </c>
      <c r="H29" s="104" t="s">
        <v>148</v>
      </c>
      <c r="I29" s="23" t="s">
        <v>63</v>
      </c>
      <c r="J29" s="31">
        <v>1</v>
      </c>
      <c r="K29" s="105">
        <v>73000</v>
      </c>
      <c r="L29" s="25"/>
      <c r="M29" s="25"/>
      <c r="N29" s="26">
        <f t="shared" si="0"/>
        <v>73000</v>
      </c>
      <c r="O29" s="26"/>
      <c r="P29" s="26"/>
      <c r="Q29" s="26"/>
      <c r="R29" s="26">
        <f t="shared" si="1"/>
        <v>73000</v>
      </c>
      <c r="S29" s="25"/>
      <c r="T29" s="28">
        <f t="shared" si="2"/>
        <v>0</v>
      </c>
      <c r="U29" s="32"/>
      <c r="V29" s="28">
        <f t="shared" si="3"/>
        <v>0</v>
      </c>
      <c r="W29" s="25"/>
      <c r="X29" s="28">
        <f t="shared" si="4"/>
        <v>0</v>
      </c>
      <c r="Y29" s="5"/>
      <c r="Z29" s="5"/>
      <c r="AA29" s="5"/>
    </row>
    <row r="30" spans="1:27" ht="63" hidden="1" customHeight="1">
      <c r="A30" s="22" t="s">
        <v>48</v>
      </c>
      <c r="B30" s="23" t="s">
        <v>49</v>
      </c>
      <c r="C30" s="23" t="s">
        <v>83</v>
      </c>
      <c r="D30" s="23" t="s">
        <v>84</v>
      </c>
      <c r="E30" s="23" t="s">
        <v>65</v>
      </c>
      <c r="F30" s="23" t="s">
        <v>85</v>
      </c>
      <c r="G30" s="23" t="s">
        <v>54</v>
      </c>
      <c r="H30" s="23" t="s">
        <v>82</v>
      </c>
      <c r="I30" s="23" t="s">
        <v>63</v>
      </c>
      <c r="J30" s="31">
        <v>1</v>
      </c>
      <c r="K30" s="25"/>
      <c r="L30" s="25"/>
      <c r="M30" s="25"/>
      <c r="N30" s="26">
        <f t="shared" si="0"/>
        <v>0</v>
      </c>
      <c r="O30" s="26"/>
      <c r="P30" s="26"/>
      <c r="Q30" s="26"/>
      <c r="R30" s="26">
        <f t="shared" si="1"/>
        <v>0</v>
      </c>
      <c r="S30" s="25"/>
      <c r="T30" s="28">
        <f t="shared" si="2"/>
        <v>0</v>
      </c>
      <c r="U30" s="32"/>
      <c r="V30" s="28">
        <f t="shared" si="3"/>
        <v>0</v>
      </c>
      <c r="W30" s="25"/>
      <c r="X30" s="28">
        <f t="shared" si="4"/>
        <v>0</v>
      </c>
      <c r="Y30" s="5"/>
      <c r="Z30" s="5"/>
      <c r="AA30" s="5"/>
    </row>
    <row r="31" spans="1:27" ht="16.5" customHeight="1">
      <c r="A31" s="139" t="s">
        <v>86</v>
      </c>
      <c r="B31" s="140"/>
      <c r="C31" s="140"/>
      <c r="D31" s="140"/>
      <c r="E31" s="140"/>
      <c r="F31" s="140"/>
      <c r="G31" s="140"/>
      <c r="H31" s="140"/>
      <c r="I31" s="140"/>
      <c r="J31" s="135"/>
      <c r="K31" s="39">
        <f t="shared" ref="K31:N31" si="5">SUM(K15:K30)</f>
        <v>943786000</v>
      </c>
      <c r="L31" s="39">
        <f t="shared" si="5"/>
        <v>6436000</v>
      </c>
      <c r="M31" s="39">
        <f t="shared" si="5"/>
        <v>6436000</v>
      </c>
      <c r="N31" s="39">
        <f t="shared" si="5"/>
        <v>943786000</v>
      </c>
      <c r="O31" s="39">
        <f t="shared" ref="O31:P31" si="6">SUM(O15:O29)</f>
        <v>0</v>
      </c>
      <c r="P31" s="39">
        <f t="shared" si="6"/>
        <v>0</v>
      </c>
      <c r="Q31" s="39">
        <f t="shared" ref="Q31:S31" si="7">SUM(Q15:Q30)</f>
        <v>0</v>
      </c>
      <c r="R31" s="39">
        <f t="shared" si="7"/>
        <v>943786000</v>
      </c>
      <c r="S31" s="39">
        <f t="shared" si="7"/>
        <v>73760148.840000004</v>
      </c>
      <c r="T31" s="40">
        <f t="shared" si="2"/>
        <v>7.8153467883609218E-2</v>
      </c>
      <c r="U31" s="39">
        <f>SUM(U15:U30)</f>
        <v>73649967.849999994</v>
      </c>
      <c r="V31" s="40">
        <f t="shared" si="3"/>
        <v>7.8036724268001428E-2</v>
      </c>
      <c r="W31" s="39">
        <f>SUM(W15:W30)</f>
        <v>72231034.870000005</v>
      </c>
      <c r="X31" s="40">
        <f t="shared" si="4"/>
        <v>7.6533276473692138E-2</v>
      </c>
      <c r="Y31" s="5"/>
      <c r="Z31" s="5"/>
      <c r="AA31" s="5"/>
    </row>
    <row r="32" spans="1:27" ht="15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39"/>
      <c r="L32" s="39"/>
      <c r="M32" s="39"/>
      <c r="N32" s="39"/>
      <c r="O32" s="39"/>
      <c r="P32" s="39"/>
      <c r="Q32" s="39"/>
      <c r="R32" s="39"/>
      <c r="S32" s="39"/>
      <c r="T32" s="40"/>
      <c r="U32" s="39"/>
      <c r="V32" s="40"/>
      <c r="W32" s="39"/>
      <c r="X32" s="40"/>
      <c r="Y32" s="5"/>
      <c r="Z32" s="5"/>
      <c r="AA32" s="5"/>
    </row>
    <row r="33" spans="1:27" ht="15" customHeight="1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3"/>
      <c r="L33" s="43"/>
      <c r="M33" s="43"/>
      <c r="N33" s="43"/>
      <c r="O33" s="43"/>
      <c r="P33" s="43"/>
      <c r="Q33" s="43"/>
      <c r="R33" s="43"/>
      <c r="S33" s="43"/>
      <c r="T33" s="38"/>
      <c r="U33" s="43"/>
      <c r="V33" s="38"/>
      <c r="W33" s="43"/>
      <c r="X33" s="38"/>
      <c r="Y33" s="5"/>
      <c r="Z33" s="5"/>
      <c r="AA33" s="5"/>
    </row>
    <row r="34" spans="1:27" ht="54" customHeight="1">
      <c r="A34" s="22" t="s">
        <v>87</v>
      </c>
      <c r="B34" s="23" t="s">
        <v>88</v>
      </c>
      <c r="C34" s="23" t="s">
        <v>50</v>
      </c>
      <c r="D34" s="23" t="s">
        <v>89</v>
      </c>
      <c r="E34" s="33" t="s">
        <v>90</v>
      </c>
      <c r="F34" s="23" t="s">
        <v>91</v>
      </c>
      <c r="G34" s="23" t="s">
        <v>54</v>
      </c>
      <c r="H34" s="104" t="s">
        <v>150</v>
      </c>
      <c r="I34" s="23" t="s">
        <v>56</v>
      </c>
      <c r="J34" s="44">
        <v>4</v>
      </c>
      <c r="K34" s="112">
        <v>4000000</v>
      </c>
      <c r="L34" s="105">
        <v>0</v>
      </c>
      <c r="M34" s="105">
        <v>1064601.94</v>
      </c>
      <c r="N34" s="26">
        <f t="shared" ref="N34:N76" si="8">K34+L34-M34</f>
        <v>2935398.06</v>
      </c>
      <c r="O34" s="26"/>
      <c r="P34" s="26"/>
      <c r="Q34" s="26"/>
      <c r="R34" s="26">
        <f t="shared" ref="R34:R76" si="9">N34-O34+P34+Q34</f>
        <v>2935398.06</v>
      </c>
      <c r="S34" s="112">
        <v>0</v>
      </c>
      <c r="T34" s="28">
        <f t="shared" ref="T34:T78" si="10">IF(R34&gt;0,S34/R34,0)</f>
        <v>0</v>
      </c>
      <c r="U34" s="113">
        <v>0</v>
      </c>
      <c r="V34" s="28">
        <f t="shared" ref="V34:V78" si="11">IF(R34&gt;0,U34/R34,0)</f>
        <v>0</v>
      </c>
      <c r="W34" s="25">
        <v>0</v>
      </c>
      <c r="X34" s="28">
        <f t="shared" ref="X34:X78" si="12">IF(R34&gt;0,W34/R34,0)</f>
        <v>0</v>
      </c>
      <c r="Y34" s="5"/>
      <c r="Z34" s="5"/>
      <c r="AA34" s="5"/>
    </row>
    <row r="35" spans="1:27" ht="54" hidden="1" customHeight="1">
      <c r="A35" s="22" t="s">
        <v>87</v>
      </c>
      <c r="B35" s="23" t="s">
        <v>88</v>
      </c>
      <c r="C35" s="23" t="s">
        <v>50</v>
      </c>
      <c r="D35" s="23" t="s">
        <v>93</v>
      </c>
      <c r="E35" s="33" t="s">
        <v>90</v>
      </c>
      <c r="F35" s="23" t="s">
        <v>91</v>
      </c>
      <c r="G35" s="23" t="s">
        <v>54</v>
      </c>
      <c r="H35" s="23" t="s">
        <v>94</v>
      </c>
      <c r="I35" s="23" t="s">
        <v>56</v>
      </c>
      <c r="J35" s="24">
        <v>3</v>
      </c>
      <c r="K35" s="45"/>
      <c r="L35" s="25"/>
      <c r="M35" s="25"/>
      <c r="N35" s="26">
        <f t="shared" si="8"/>
        <v>0</v>
      </c>
      <c r="O35" s="26"/>
      <c r="P35" s="26"/>
      <c r="Q35" s="26"/>
      <c r="R35" s="26">
        <f t="shared" si="9"/>
        <v>0</v>
      </c>
      <c r="S35" s="45"/>
      <c r="T35" s="28">
        <f t="shared" si="10"/>
        <v>0</v>
      </c>
      <c r="U35" s="29"/>
      <c r="V35" s="28">
        <f t="shared" si="11"/>
        <v>0</v>
      </c>
      <c r="W35" s="25"/>
      <c r="X35" s="28">
        <f t="shared" si="12"/>
        <v>0</v>
      </c>
      <c r="Y35" s="5"/>
      <c r="Z35" s="5"/>
      <c r="AA35" s="5"/>
    </row>
    <row r="36" spans="1:27" ht="54" hidden="1" customHeight="1">
      <c r="A36" s="22" t="s">
        <v>87</v>
      </c>
      <c r="B36" s="23" t="s">
        <v>88</v>
      </c>
      <c r="C36" s="23" t="s">
        <v>50</v>
      </c>
      <c r="D36" s="23" t="s">
        <v>95</v>
      </c>
      <c r="E36" s="33" t="s">
        <v>90</v>
      </c>
      <c r="F36" s="23" t="s">
        <v>91</v>
      </c>
      <c r="G36" s="23" t="s">
        <v>54</v>
      </c>
      <c r="H36" s="23" t="s">
        <v>94</v>
      </c>
      <c r="I36" s="23" t="s">
        <v>56</v>
      </c>
      <c r="J36" s="44">
        <v>4</v>
      </c>
      <c r="K36" s="45"/>
      <c r="L36" s="25"/>
      <c r="M36" s="25"/>
      <c r="N36" s="26">
        <f t="shared" si="8"/>
        <v>0</v>
      </c>
      <c r="O36" s="26"/>
      <c r="P36" s="26"/>
      <c r="Q36" s="26"/>
      <c r="R36" s="26">
        <f t="shared" si="9"/>
        <v>0</v>
      </c>
      <c r="S36" s="45"/>
      <c r="T36" s="28">
        <f t="shared" si="10"/>
        <v>0</v>
      </c>
      <c r="U36" s="46"/>
      <c r="V36" s="28">
        <f t="shared" si="11"/>
        <v>0</v>
      </c>
      <c r="W36" s="25"/>
      <c r="X36" s="28">
        <f t="shared" si="12"/>
        <v>0</v>
      </c>
      <c r="Y36" s="5"/>
      <c r="Z36" s="5"/>
      <c r="AA36" s="5"/>
    </row>
    <row r="37" spans="1:27" ht="54" hidden="1" customHeight="1">
      <c r="A37" s="22" t="s">
        <v>87</v>
      </c>
      <c r="B37" s="23" t="s">
        <v>88</v>
      </c>
      <c r="C37" s="23" t="s">
        <v>50</v>
      </c>
      <c r="D37" s="23" t="s">
        <v>96</v>
      </c>
      <c r="E37" s="33" t="s">
        <v>90</v>
      </c>
      <c r="F37" s="23" t="s">
        <v>91</v>
      </c>
      <c r="G37" s="23" t="s">
        <v>54</v>
      </c>
      <c r="H37" s="23" t="s">
        <v>92</v>
      </c>
      <c r="I37" s="23" t="s">
        <v>56</v>
      </c>
      <c r="J37" s="24">
        <v>3</v>
      </c>
      <c r="K37" s="45"/>
      <c r="L37" s="25"/>
      <c r="M37" s="25"/>
      <c r="N37" s="26">
        <f t="shared" si="8"/>
        <v>0</v>
      </c>
      <c r="O37" s="26"/>
      <c r="P37" s="26"/>
      <c r="Q37" s="26"/>
      <c r="R37" s="26">
        <f t="shared" si="9"/>
        <v>0</v>
      </c>
      <c r="S37" s="45"/>
      <c r="T37" s="28">
        <f t="shared" si="10"/>
        <v>0</v>
      </c>
      <c r="U37" s="29"/>
      <c r="V37" s="28">
        <f t="shared" si="11"/>
        <v>0</v>
      </c>
      <c r="W37" s="25"/>
      <c r="X37" s="28">
        <f t="shared" si="12"/>
        <v>0</v>
      </c>
      <c r="Y37" s="5"/>
      <c r="Z37" s="5"/>
      <c r="AA37" s="5"/>
    </row>
    <row r="38" spans="1:27" ht="54" hidden="1" customHeight="1">
      <c r="A38" s="47" t="s">
        <v>87</v>
      </c>
      <c r="B38" s="23" t="s">
        <v>88</v>
      </c>
      <c r="C38" s="48" t="s">
        <v>50</v>
      </c>
      <c r="D38" s="48" t="s">
        <v>96</v>
      </c>
      <c r="E38" s="33" t="s">
        <v>90</v>
      </c>
      <c r="F38" s="23" t="s">
        <v>91</v>
      </c>
      <c r="G38" s="48" t="s">
        <v>54</v>
      </c>
      <c r="H38" s="48" t="s">
        <v>94</v>
      </c>
      <c r="I38" s="23" t="s">
        <v>56</v>
      </c>
      <c r="J38" s="49">
        <v>4</v>
      </c>
      <c r="K38" s="45"/>
      <c r="L38" s="50"/>
      <c r="M38" s="50"/>
      <c r="N38" s="26">
        <f t="shared" si="8"/>
        <v>0</v>
      </c>
      <c r="O38" s="51"/>
      <c r="P38" s="51"/>
      <c r="Q38" s="51"/>
      <c r="R38" s="26">
        <f t="shared" si="9"/>
        <v>0</v>
      </c>
      <c r="S38" s="52"/>
      <c r="T38" s="28">
        <f t="shared" si="10"/>
        <v>0</v>
      </c>
      <c r="U38" s="53"/>
      <c r="V38" s="28">
        <f t="shared" si="11"/>
        <v>0</v>
      </c>
      <c r="W38" s="50"/>
      <c r="X38" s="28">
        <f t="shared" si="12"/>
        <v>0</v>
      </c>
      <c r="Y38" s="5"/>
      <c r="Z38" s="5"/>
      <c r="AA38" s="5"/>
    </row>
    <row r="39" spans="1:27" ht="54" customHeight="1">
      <c r="A39" s="22" t="s">
        <v>87</v>
      </c>
      <c r="B39" s="23" t="s">
        <v>88</v>
      </c>
      <c r="C39" s="23" t="s">
        <v>50</v>
      </c>
      <c r="D39" s="23" t="s">
        <v>97</v>
      </c>
      <c r="E39" s="33" t="s">
        <v>90</v>
      </c>
      <c r="F39" s="23" t="s">
        <v>91</v>
      </c>
      <c r="G39" s="23" t="s">
        <v>54</v>
      </c>
      <c r="H39" s="104" t="s">
        <v>150</v>
      </c>
      <c r="I39" s="23" t="s">
        <v>56</v>
      </c>
      <c r="J39" s="24">
        <v>3</v>
      </c>
      <c r="K39" s="108">
        <v>0</v>
      </c>
      <c r="L39" s="105">
        <v>441781.15</v>
      </c>
      <c r="M39" s="105">
        <v>0</v>
      </c>
      <c r="N39" s="26">
        <f t="shared" si="8"/>
        <v>441781.15</v>
      </c>
      <c r="O39" s="27"/>
      <c r="P39" s="27"/>
      <c r="Q39" s="27"/>
      <c r="R39" s="26">
        <f t="shared" si="9"/>
        <v>441781.15</v>
      </c>
      <c r="S39" s="110">
        <v>387981.41</v>
      </c>
      <c r="T39" s="28">
        <f t="shared" si="10"/>
        <v>0.87822083400344253</v>
      </c>
      <c r="U39" s="106">
        <v>0</v>
      </c>
      <c r="V39" s="28">
        <f t="shared" si="11"/>
        <v>0</v>
      </c>
      <c r="W39" s="25">
        <v>0</v>
      </c>
      <c r="X39" s="28">
        <f t="shared" si="12"/>
        <v>0</v>
      </c>
      <c r="Y39" s="5"/>
      <c r="Z39" s="5"/>
      <c r="AA39" s="5"/>
    </row>
    <row r="40" spans="1:27" ht="54" hidden="1" customHeight="1">
      <c r="A40" s="22" t="s">
        <v>87</v>
      </c>
      <c r="B40" s="23" t="s">
        <v>88</v>
      </c>
      <c r="C40" s="23" t="s">
        <v>50</v>
      </c>
      <c r="D40" s="23" t="s">
        <v>97</v>
      </c>
      <c r="E40" s="33" t="s">
        <v>90</v>
      </c>
      <c r="F40" s="23" t="s">
        <v>91</v>
      </c>
      <c r="G40" s="23" t="s">
        <v>54</v>
      </c>
      <c r="H40" s="23" t="s">
        <v>92</v>
      </c>
      <c r="I40" s="23" t="s">
        <v>56</v>
      </c>
      <c r="J40" s="44">
        <v>4</v>
      </c>
      <c r="K40" s="34"/>
      <c r="L40" s="25"/>
      <c r="M40" s="25"/>
      <c r="N40" s="26">
        <f t="shared" si="8"/>
        <v>0</v>
      </c>
      <c r="O40" s="27"/>
      <c r="P40" s="27"/>
      <c r="Q40" s="27"/>
      <c r="R40" s="26">
        <f t="shared" si="9"/>
        <v>0</v>
      </c>
      <c r="S40" s="37"/>
      <c r="T40" s="28">
        <f t="shared" si="10"/>
        <v>0</v>
      </c>
      <c r="U40" s="46"/>
      <c r="V40" s="28">
        <f t="shared" si="11"/>
        <v>0</v>
      </c>
      <c r="W40" s="25">
        <v>0</v>
      </c>
      <c r="X40" s="28">
        <f t="shared" si="12"/>
        <v>0</v>
      </c>
      <c r="Y40" s="5"/>
      <c r="Z40" s="5"/>
      <c r="AA40" s="5"/>
    </row>
    <row r="41" spans="1:27" ht="54" hidden="1" customHeight="1">
      <c r="A41" s="22" t="s">
        <v>87</v>
      </c>
      <c r="B41" s="23" t="s">
        <v>88</v>
      </c>
      <c r="C41" s="23" t="s">
        <v>50</v>
      </c>
      <c r="D41" s="23" t="s">
        <v>97</v>
      </c>
      <c r="E41" s="33" t="s">
        <v>90</v>
      </c>
      <c r="F41" s="23" t="s">
        <v>91</v>
      </c>
      <c r="G41" s="23" t="s">
        <v>54</v>
      </c>
      <c r="H41" s="23" t="s">
        <v>94</v>
      </c>
      <c r="I41" s="23" t="s">
        <v>56</v>
      </c>
      <c r="J41" s="24">
        <v>3</v>
      </c>
      <c r="K41" s="34"/>
      <c r="L41" s="25"/>
      <c r="M41" s="25"/>
      <c r="N41" s="26">
        <f t="shared" si="8"/>
        <v>0</v>
      </c>
      <c r="O41" s="27"/>
      <c r="P41" s="27"/>
      <c r="Q41" s="27"/>
      <c r="R41" s="26">
        <f t="shared" si="9"/>
        <v>0</v>
      </c>
      <c r="S41" s="37"/>
      <c r="T41" s="28">
        <f t="shared" si="10"/>
        <v>0</v>
      </c>
      <c r="U41" s="29"/>
      <c r="V41" s="28">
        <f t="shared" si="11"/>
        <v>0</v>
      </c>
      <c r="W41" s="25">
        <v>0</v>
      </c>
      <c r="X41" s="28">
        <f t="shared" si="12"/>
        <v>0</v>
      </c>
      <c r="Y41" s="5"/>
      <c r="Z41" s="5"/>
      <c r="AA41" s="5"/>
    </row>
    <row r="42" spans="1:27" ht="54" customHeight="1">
      <c r="A42" s="22" t="s">
        <v>87</v>
      </c>
      <c r="B42" s="23" t="s">
        <v>88</v>
      </c>
      <c r="C42" s="23" t="s">
        <v>50</v>
      </c>
      <c r="D42" s="104" t="s">
        <v>97</v>
      </c>
      <c r="E42" s="33" t="s">
        <v>90</v>
      </c>
      <c r="F42" s="23" t="s">
        <v>91</v>
      </c>
      <c r="G42" s="23" t="s">
        <v>54</v>
      </c>
      <c r="H42" s="104" t="s">
        <v>150</v>
      </c>
      <c r="I42" s="23" t="s">
        <v>56</v>
      </c>
      <c r="J42" s="44">
        <v>4</v>
      </c>
      <c r="K42" s="108">
        <v>0</v>
      </c>
      <c r="L42" s="105">
        <v>622820.79</v>
      </c>
      <c r="M42" s="105">
        <v>0</v>
      </c>
      <c r="N42" s="26">
        <f t="shared" si="8"/>
        <v>622820.79</v>
      </c>
      <c r="O42" s="27"/>
      <c r="P42" s="27"/>
      <c r="Q42" s="27"/>
      <c r="R42" s="26">
        <f t="shared" si="9"/>
        <v>622820.79</v>
      </c>
      <c r="S42" s="37">
        <f>305000+317820.79</f>
        <v>622820.79</v>
      </c>
      <c r="T42" s="28">
        <f t="shared" si="10"/>
        <v>1</v>
      </c>
      <c r="U42" s="113">
        <v>0</v>
      </c>
      <c r="V42" s="28">
        <f t="shared" si="11"/>
        <v>0</v>
      </c>
      <c r="W42" s="35">
        <v>0</v>
      </c>
      <c r="X42" s="28">
        <f t="shared" si="12"/>
        <v>0</v>
      </c>
      <c r="Y42" s="5"/>
      <c r="Z42" s="5"/>
      <c r="AA42" s="5"/>
    </row>
    <row r="43" spans="1:27" ht="54" customHeight="1">
      <c r="A43" s="22" t="s">
        <v>87</v>
      </c>
      <c r="B43" s="23" t="s">
        <v>88</v>
      </c>
      <c r="C43" s="23" t="s">
        <v>50</v>
      </c>
      <c r="D43" s="104" t="s">
        <v>98</v>
      </c>
      <c r="E43" s="33" t="s">
        <v>90</v>
      </c>
      <c r="F43" s="104" t="s">
        <v>99</v>
      </c>
      <c r="G43" s="23" t="s">
        <v>54</v>
      </c>
      <c r="H43" s="104" t="s">
        <v>150</v>
      </c>
      <c r="I43" s="23" t="s">
        <v>56</v>
      </c>
      <c r="J43" s="44">
        <v>4</v>
      </c>
      <c r="K43" s="108">
        <v>16520000</v>
      </c>
      <c r="L43" s="105">
        <v>0</v>
      </c>
      <c r="M43" s="105">
        <v>9434675.1400000006</v>
      </c>
      <c r="N43" s="26">
        <f t="shared" si="8"/>
        <v>7085324.8599999994</v>
      </c>
      <c r="O43" s="26"/>
      <c r="P43" s="26"/>
      <c r="Q43" s="26"/>
      <c r="R43" s="26">
        <f t="shared" si="9"/>
        <v>7085324.8599999994</v>
      </c>
      <c r="S43" s="108">
        <v>0</v>
      </c>
      <c r="T43" s="28">
        <f t="shared" si="10"/>
        <v>0</v>
      </c>
      <c r="U43" s="113">
        <v>0</v>
      </c>
      <c r="V43" s="28">
        <f t="shared" si="11"/>
        <v>0</v>
      </c>
      <c r="W43" s="25">
        <v>0</v>
      </c>
      <c r="X43" s="28">
        <f t="shared" si="12"/>
        <v>0</v>
      </c>
      <c r="Y43" s="5"/>
      <c r="Z43" s="5"/>
      <c r="AA43" s="5"/>
    </row>
    <row r="44" spans="1:27" ht="54" customHeight="1">
      <c r="A44" s="22" t="s">
        <v>87</v>
      </c>
      <c r="B44" s="23" t="s">
        <v>88</v>
      </c>
      <c r="C44" s="23" t="s">
        <v>50</v>
      </c>
      <c r="D44" s="104" t="s">
        <v>151</v>
      </c>
      <c r="E44" s="33" t="s">
        <v>90</v>
      </c>
      <c r="F44" s="104" t="s">
        <v>99</v>
      </c>
      <c r="G44" s="23" t="s">
        <v>54</v>
      </c>
      <c r="H44" s="104" t="s">
        <v>150</v>
      </c>
      <c r="I44" s="23" t="s">
        <v>56</v>
      </c>
      <c r="J44" s="44">
        <v>4</v>
      </c>
      <c r="K44" s="108">
        <v>0</v>
      </c>
      <c r="L44" s="105">
        <v>3034594.58</v>
      </c>
      <c r="M44" s="105">
        <v>0</v>
      </c>
      <c r="N44" s="26">
        <f t="shared" si="8"/>
        <v>3034594.58</v>
      </c>
      <c r="O44" s="26"/>
      <c r="P44" s="26"/>
      <c r="Q44" s="26"/>
      <c r="R44" s="26">
        <f t="shared" si="9"/>
        <v>3034594.58</v>
      </c>
      <c r="S44" s="108">
        <v>3034594.58</v>
      </c>
      <c r="T44" s="28">
        <f t="shared" si="10"/>
        <v>1</v>
      </c>
      <c r="U44" s="113">
        <v>0</v>
      </c>
      <c r="V44" s="28">
        <f t="shared" si="11"/>
        <v>0</v>
      </c>
      <c r="W44" s="25">
        <v>0</v>
      </c>
      <c r="X44" s="28">
        <f t="shared" si="12"/>
        <v>0</v>
      </c>
      <c r="Y44" s="5"/>
      <c r="Z44" s="5"/>
      <c r="AA44" s="5"/>
    </row>
    <row r="45" spans="1:27" ht="54" customHeight="1">
      <c r="A45" s="22" t="s">
        <v>87</v>
      </c>
      <c r="B45" s="23" t="s">
        <v>88</v>
      </c>
      <c r="C45" s="23" t="s">
        <v>50</v>
      </c>
      <c r="D45" s="104" t="s">
        <v>152</v>
      </c>
      <c r="E45" s="33" t="s">
        <v>90</v>
      </c>
      <c r="F45" s="104" t="s">
        <v>99</v>
      </c>
      <c r="G45" s="23" t="s">
        <v>54</v>
      </c>
      <c r="H45" s="104" t="s">
        <v>150</v>
      </c>
      <c r="I45" s="23" t="s">
        <v>56</v>
      </c>
      <c r="J45" s="44">
        <v>4</v>
      </c>
      <c r="K45" s="108">
        <v>0</v>
      </c>
      <c r="L45" s="105">
        <v>6400080.5599999996</v>
      </c>
      <c r="M45" s="105">
        <v>0</v>
      </c>
      <c r="N45" s="26">
        <f t="shared" si="8"/>
        <v>6400080.5599999996</v>
      </c>
      <c r="O45" s="26"/>
      <c r="P45" s="26"/>
      <c r="Q45" s="26"/>
      <c r="R45" s="26">
        <f t="shared" si="9"/>
        <v>6400080.5599999996</v>
      </c>
      <c r="S45" s="108">
        <v>0</v>
      </c>
      <c r="T45" s="28">
        <f t="shared" si="10"/>
        <v>0</v>
      </c>
      <c r="U45" s="113">
        <v>0</v>
      </c>
      <c r="V45" s="28">
        <f t="shared" si="11"/>
        <v>0</v>
      </c>
      <c r="W45" s="25">
        <v>0</v>
      </c>
      <c r="X45" s="28">
        <f t="shared" si="12"/>
        <v>0</v>
      </c>
      <c r="Y45" s="5"/>
      <c r="Z45" s="5"/>
      <c r="AA45" s="5"/>
    </row>
    <row r="46" spans="1:27" ht="54" customHeight="1">
      <c r="A46" s="22" t="s">
        <v>87</v>
      </c>
      <c r="B46" s="23" t="s">
        <v>88</v>
      </c>
      <c r="C46" s="23" t="s">
        <v>50</v>
      </c>
      <c r="D46" s="104" t="s">
        <v>100</v>
      </c>
      <c r="E46" s="33" t="s">
        <v>90</v>
      </c>
      <c r="F46" s="104" t="s">
        <v>101</v>
      </c>
      <c r="G46" s="23" t="s">
        <v>54</v>
      </c>
      <c r="H46" s="104" t="s">
        <v>150</v>
      </c>
      <c r="I46" s="23" t="s">
        <v>56</v>
      </c>
      <c r="J46" s="44">
        <v>4</v>
      </c>
      <c r="K46" s="108">
        <v>100000</v>
      </c>
      <c r="L46" s="105">
        <v>0</v>
      </c>
      <c r="M46" s="105">
        <v>0</v>
      </c>
      <c r="N46" s="26">
        <f t="shared" si="8"/>
        <v>100000</v>
      </c>
      <c r="O46" s="26"/>
      <c r="P46" s="26"/>
      <c r="Q46" s="26"/>
      <c r="R46" s="26">
        <f t="shared" si="9"/>
        <v>100000</v>
      </c>
      <c r="S46" s="108">
        <v>0</v>
      </c>
      <c r="T46" s="28">
        <f t="shared" si="10"/>
        <v>0</v>
      </c>
      <c r="U46" s="113">
        <v>0</v>
      </c>
      <c r="V46" s="28">
        <f t="shared" si="11"/>
        <v>0</v>
      </c>
      <c r="W46" s="25">
        <v>0</v>
      </c>
      <c r="X46" s="28">
        <f t="shared" si="12"/>
        <v>0</v>
      </c>
      <c r="Y46" s="5"/>
      <c r="Z46" s="5"/>
      <c r="AA46" s="5"/>
    </row>
    <row r="47" spans="1:27" ht="54" customHeight="1">
      <c r="A47" s="22" t="s">
        <v>87</v>
      </c>
      <c r="B47" s="23" t="s">
        <v>88</v>
      </c>
      <c r="C47" s="23" t="s">
        <v>50</v>
      </c>
      <c r="D47" s="23" t="s">
        <v>51</v>
      </c>
      <c r="E47" s="33" t="s">
        <v>90</v>
      </c>
      <c r="F47" s="23" t="s">
        <v>102</v>
      </c>
      <c r="G47" s="23" t="s">
        <v>54</v>
      </c>
      <c r="H47" s="104" t="s">
        <v>150</v>
      </c>
      <c r="I47" s="23" t="s">
        <v>56</v>
      </c>
      <c r="J47" s="24">
        <v>3</v>
      </c>
      <c r="K47" s="34">
        <f>54800000-K48</f>
        <v>53000000</v>
      </c>
      <c r="L47" s="105">
        <v>0</v>
      </c>
      <c r="M47" s="105">
        <v>0</v>
      </c>
      <c r="N47" s="26">
        <f t="shared" si="8"/>
        <v>53000000</v>
      </c>
      <c r="O47" s="26"/>
      <c r="P47" s="26"/>
      <c r="Q47" s="26"/>
      <c r="R47" s="26">
        <f t="shared" si="9"/>
        <v>53000000</v>
      </c>
      <c r="S47" s="34">
        <f>21237409.32-S48</f>
        <v>21218374.32</v>
      </c>
      <c r="T47" s="28">
        <f t="shared" si="10"/>
        <v>0.40034668528301887</v>
      </c>
      <c r="U47" s="29">
        <f>1337545.04</f>
        <v>1337545.04</v>
      </c>
      <c r="V47" s="28">
        <f t="shared" si="11"/>
        <v>2.5236698867924529E-2</v>
      </c>
      <c r="W47" s="105">
        <v>1301665.1200000001</v>
      </c>
      <c r="X47" s="28">
        <f t="shared" si="12"/>
        <v>2.455971924528302E-2</v>
      </c>
      <c r="Y47" s="5"/>
      <c r="Z47" s="5"/>
      <c r="AA47" s="5"/>
    </row>
    <row r="48" spans="1:27" ht="54" customHeight="1">
      <c r="A48" s="22" t="s">
        <v>87</v>
      </c>
      <c r="B48" s="23" t="s">
        <v>88</v>
      </c>
      <c r="C48" s="23" t="s">
        <v>50</v>
      </c>
      <c r="D48" s="23" t="s">
        <v>51</v>
      </c>
      <c r="E48" s="33" t="s">
        <v>90</v>
      </c>
      <c r="F48" s="23" t="s">
        <v>102</v>
      </c>
      <c r="G48" s="23" t="s">
        <v>54</v>
      </c>
      <c r="H48" s="104" t="s">
        <v>153</v>
      </c>
      <c r="I48" s="23" t="s">
        <v>56</v>
      </c>
      <c r="J48" s="44">
        <v>4</v>
      </c>
      <c r="K48" s="108">
        <v>1800000</v>
      </c>
      <c r="L48" s="105">
        <v>0</v>
      </c>
      <c r="M48" s="105">
        <v>0</v>
      </c>
      <c r="N48" s="26">
        <f t="shared" si="8"/>
        <v>1800000</v>
      </c>
      <c r="O48" s="26"/>
      <c r="P48" s="26"/>
      <c r="Q48" s="26"/>
      <c r="R48" s="26">
        <f t="shared" si="9"/>
        <v>1800000</v>
      </c>
      <c r="S48" s="105">
        <v>19035</v>
      </c>
      <c r="T48" s="28">
        <f t="shared" si="10"/>
        <v>1.0574999999999999E-2</v>
      </c>
      <c r="U48" s="113">
        <v>0</v>
      </c>
      <c r="V48" s="28">
        <f t="shared" si="11"/>
        <v>0</v>
      </c>
      <c r="W48" s="25">
        <v>0</v>
      </c>
      <c r="X48" s="28">
        <f t="shared" si="12"/>
        <v>0</v>
      </c>
      <c r="Y48" s="5"/>
      <c r="Z48" s="5"/>
      <c r="AA48" s="5"/>
    </row>
    <row r="49" spans="1:27" ht="54" hidden="1" customHeight="1">
      <c r="A49" s="22" t="s">
        <v>87</v>
      </c>
      <c r="B49" s="33" t="s">
        <v>88</v>
      </c>
      <c r="C49" s="33" t="s">
        <v>50</v>
      </c>
      <c r="D49" s="33" t="s">
        <v>51</v>
      </c>
      <c r="E49" s="33" t="s">
        <v>90</v>
      </c>
      <c r="F49" s="23" t="s">
        <v>102</v>
      </c>
      <c r="G49" s="33" t="s">
        <v>54</v>
      </c>
      <c r="H49" s="33" t="s">
        <v>94</v>
      </c>
      <c r="I49" s="33" t="s">
        <v>56</v>
      </c>
      <c r="J49" s="24">
        <v>3</v>
      </c>
      <c r="K49" s="34"/>
      <c r="L49" s="35"/>
      <c r="M49" s="35"/>
      <c r="N49" s="36">
        <f t="shared" si="8"/>
        <v>0</v>
      </c>
      <c r="O49" s="36"/>
      <c r="P49" s="36"/>
      <c r="Q49" s="36"/>
      <c r="R49" s="36">
        <f t="shared" si="9"/>
        <v>0</v>
      </c>
      <c r="S49" s="35"/>
      <c r="T49" s="38">
        <f t="shared" si="10"/>
        <v>0</v>
      </c>
      <c r="U49" s="54"/>
      <c r="V49" s="38">
        <f t="shared" si="11"/>
        <v>0</v>
      </c>
      <c r="W49" s="35">
        <v>0</v>
      </c>
      <c r="X49" s="38">
        <f t="shared" si="12"/>
        <v>0</v>
      </c>
      <c r="Y49" s="5"/>
      <c r="Z49" s="5"/>
      <c r="AA49" s="5"/>
    </row>
    <row r="50" spans="1:27" ht="54" customHeight="1">
      <c r="A50" s="22" t="s">
        <v>87</v>
      </c>
      <c r="B50" s="33" t="s">
        <v>88</v>
      </c>
      <c r="C50" s="33" t="s">
        <v>50</v>
      </c>
      <c r="D50" s="33" t="s">
        <v>57</v>
      </c>
      <c r="E50" s="33" t="s">
        <v>90</v>
      </c>
      <c r="F50" s="33" t="s">
        <v>103</v>
      </c>
      <c r="G50" s="33" t="s">
        <v>54</v>
      </c>
      <c r="H50" s="114" t="s">
        <v>150</v>
      </c>
      <c r="I50" s="33" t="s">
        <v>56</v>
      </c>
      <c r="J50" s="24">
        <v>3</v>
      </c>
      <c r="K50" s="108">
        <v>65000</v>
      </c>
      <c r="L50" s="109">
        <v>0</v>
      </c>
      <c r="M50" s="109">
        <v>0</v>
      </c>
      <c r="N50" s="36">
        <f t="shared" si="8"/>
        <v>65000</v>
      </c>
      <c r="O50" s="36"/>
      <c r="P50" s="36"/>
      <c r="Q50" s="36"/>
      <c r="R50" s="36">
        <f t="shared" si="9"/>
        <v>65000</v>
      </c>
      <c r="S50" s="109">
        <v>0</v>
      </c>
      <c r="T50" s="38">
        <f t="shared" si="10"/>
        <v>0</v>
      </c>
      <c r="U50" s="115">
        <v>0</v>
      </c>
      <c r="V50" s="38">
        <f t="shared" si="11"/>
        <v>0</v>
      </c>
      <c r="W50" s="35">
        <v>0</v>
      </c>
      <c r="X50" s="38">
        <f t="shared" si="12"/>
        <v>0</v>
      </c>
      <c r="Y50" s="5"/>
      <c r="Z50" s="5"/>
      <c r="AA50" s="5"/>
    </row>
    <row r="51" spans="1:27" ht="54" hidden="1" customHeight="1">
      <c r="A51" s="22" t="s">
        <v>87</v>
      </c>
      <c r="B51" s="33" t="s">
        <v>88</v>
      </c>
      <c r="C51" s="33" t="s">
        <v>50</v>
      </c>
      <c r="D51" s="33" t="s">
        <v>57</v>
      </c>
      <c r="E51" s="33" t="s">
        <v>104</v>
      </c>
      <c r="F51" s="33" t="s">
        <v>103</v>
      </c>
      <c r="G51" s="33" t="s">
        <v>54</v>
      </c>
      <c r="H51" s="33" t="s">
        <v>94</v>
      </c>
      <c r="I51" s="33" t="s">
        <v>63</v>
      </c>
      <c r="J51" s="24">
        <v>3</v>
      </c>
      <c r="K51" s="34"/>
      <c r="L51" s="35"/>
      <c r="M51" s="35"/>
      <c r="N51" s="36">
        <f t="shared" si="8"/>
        <v>0</v>
      </c>
      <c r="O51" s="36"/>
      <c r="P51" s="36"/>
      <c r="Q51" s="36"/>
      <c r="R51" s="36">
        <f t="shared" si="9"/>
        <v>0</v>
      </c>
      <c r="S51" s="37"/>
      <c r="T51" s="38">
        <f t="shared" si="10"/>
        <v>0</v>
      </c>
      <c r="U51" s="54"/>
      <c r="V51" s="38">
        <f t="shared" si="11"/>
        <v>0</v>
      </c>
      <c r="W51" s="35">
        <v>0</v>
      </c>
      <c r="X51" s="38">
        <f t="shared" si="12"/>
        <v>0</v>
      </c>
      <c r="Y51" s="5"/>
      <c r="Z51" s="5"/>
      <c r="AA51" s="5"/>
    </row>
    <row r="52" spans="1:27" ht="54" customHeight="1">
      <c r="A52" s="22" t="s">
        <v>87</v>
      </c>
      <c r="B52" s="33" t="s">
        <v>88</v>
      </c>
      <c r="C52" s="33" t="s">
        <v>50</v>
      </c>
      <c r="D52" s="33" t="s">
        <v>105</v>
      </c>
      <c r="E52" s="33" t="s">
        <v>104</v>
      </c>
      <c r="F52" s="33" t="s">
        <v>106</v>
      </c>
      <c r="G52" s="33" t="s">
        <v>54</v>
      </c>
      <c r="H52" s="114" t="s">
        <v>150</v>
      </c>
      <c r="I52" s="33" t="s">
        <v>63</v>
      </c>
      <c r="J52" s="44">
        <v>4</v>
      </c>
      <c r="K52" s="108">
        <v>5000000</v>
      </c>
      <c r="L52" s="109">
        <v>0</v>
      </c>
      <c r="M52" s="109">
        <v>0</v>
      </c>
      <c r="N52" s="36">
        <f t="shared" si="8"/>
        <v>5000000</v>
      </c>
      <c r="O52" s="36"/>
      <c r="P52" s="36"/>
      <c r="Q52" s="36"/>
      <c r="R52" s="36">
        <f t="shared" si="9"/>
        <v>5000000</v>
      </c>
      <c r="S52" s="110">
        <v>0</v>
      </c>
      <c r="T52" s="38">
        <f t="shared" si="10"/>
        <v>0</v>
      </c>
      <c r="U52" s="113">
        <v>0</v>
      </c>
      <c r="V52" s="38">
        <f t="shared" si="11"/>
        <v>0</v>
      </c>
      <c r="W52" s="35">
        <v>0</v>
      </c>
      <c r="X52" s="38">
        <f t="shared" si="12"/>
        <v>0</v>
      </c>
      <c r="Y52" s="5"/>
      <c r="Z52" s="5"/>
      <c r="AA52" s="5"/>
    </row>
    <row r="53" spans="1:27" ht="54" customHeight="1">
      <c r="A53" s="22" t="s">
        <v>87</v>
      </c>
      <c r="B53" s="33" t="s">
        <v>88</v>
      </c>
      <c r="C53" s="33" t="s">
        <v>50</v>
      </c>
      <c r="D53" s="33" t="s">
        <v>107</v>
      </c>
      <c r="E53" s="33" t="s">
        <v>104</v>
      </c>
      <c r="F53" s="33" t="s">
        <v>108</v>
      </c>
      <c r="G53" s="33" t="s">
        <v>54</v>
      </c>
      <c r="H53" s="114" t="s">
        <v>150</v>
      </c>
      <c r="I53" s="33" t="s">
        <v>63</v>
      </c>
      <c r="J53" s="44">
        <v>4</v>
      </c>
      <c r="K53" s="108">
        <v>100000</v>
      </c>
      <c r="L53" s="109">
        <v>0</v>
      </c>
      <c r="M53" s="109">
        <v>0</v>
      </c>
      <c r="N53" s="36">
        <f t="shared" si="8"/>
        <v>100000</v>
      </c>
      <c r="O53" s="36"/>
      <c r="P53" s="36"/>
      <c r="Q53" s="36"/>
      <c r="R53" s="36">
        <f t="shared" si="9"/>
        <v>100000</v>
      </c>
      <c r="S53" s="110">
        <v>0</v>
      </c>
      <c r="T53" s="38">
        <f t="shared" si="10"/>
        <v>0</v>
      </c>
      <c r="U53" s="113">
        <v>0</v>
      </c>
      <c r="V53" s="38">
        <f t="shared" si="11"/>
        <v>0</v>
      </c>
      <c r="W53" s="35">
        <v>0</v>
      </c>
      <c r="X53" s="38">
        <f t="shared" si="12"/>
        <v>0</v>
      </c>
      <c r="Y53" s="5"/>
      <c r="Z53" s="5"/>
      <c r="AA53" s="5"/>
    </row>
    <row r="54" spans="1:27" ht="54" hidden="1" customHeight="1">
      <c r="A54" s="22" t="s">
        <v>87</v>
      </c>
      <c r="B54" s="33" t="s">
        <v>88</v>
      </c>
      <c r="C54" s="33" t="s">
        <v>50</v>
      </c>
      <c r="D54" s="33" t="s">
        <v>109</v>
      </c>
      <c r="E54" s="33" t="s">
        <v>104</v>
      </c>
      <c r="F54" s="33" t="s">
        <v>110</v>
      </c>
      <c r="G54" s="33" t="s">
        <v>54</v>
      </c>
      <c r="H54" s="33" t="s">
        <v>94</v>
      </c>
      <c r="I54" s="33" t="s">
        <v>63</v>
      </c>
      <c r="J54" s="24">
        <v>3</v>
      </c>
      <c r="K54" s="34"/>
      <c r="L54" s="35"/>
      <c r="M54" s="35"/>
      <c r="N54" s="36">
        <f t="shared" si="8"/>
        <v>0</v>
      </c>
      <c r="O54" s="36"/>
      <c r="P54" s="36"/>
      <c r="Q54" s="36"/>
      <c r="R54" s="36">
        <f t="shared" si="9"/>
        <v>0</v>
      </c>
      <c r="S54" s="37"/>
      <c r="T54" s="38">
        <f t="shared" si="10"/>
        <v>0</v>
      </c>
      <c r="U54" s="29"/>
      <c r="V54" s="38">
        <f t="shared" si="11"/>
        <v>0</v>
      </c>
      <c r="W54" s="35"/>
      <c r="X54" s="38">
        <f t="shared" si="12"/>
        <v>0</v>
      </c>
      <c r="Y54" s="5"/>
      <c r="Z54" s="5"/>
      <c r="AA54" s="5"/>
    </row>
    <row r="55" spans="1:27" ht="54" customHeight="1">
      <c r="A55" s="22" t="s">
        <v>87</v>
      </c>
      <c r="B55" s="33" t="s">
        <v>88</v>
      </c>
      <c r="C55" s="33" t="s">
        <v>50</v>
      </c>
      <c r="D55" s="33" t="s">
        <v>111</v>
      </c>
      <c r="E55" s="33" t="s">
        <v>104</v>
      </c>
      <c r="F55" s="33" t="s">
        <v>110</v>
      </c>
      <c r="G55" s="33" t="s">
        <v>54</v>
      </c>
      <c r="H55" s="114" t="s">
        <v>150</v>
      </c>
      <c r="I55" s="33" t="s">
        <v>63</v>
      </c>
      <c r="J55" s="44">
        <v>4</v>
      </c>
      <c r="K55" s="108">
        <v>280000</v>
      </c>
      <c r="L55" s="109">
        <v>0</v>
      </c>
      <c r="M55" s="109">
        <v>49950</v>
      </c>
      <c r="N55" s="36">
        <f t="shared" si="8"/>
        <v>230050</v>
      </c>
      <c r="O55" s="36"/>
      <c r="P55" s="36"/>
      <c r="Q55" s="36"/>
      <c r="R55" s="36">
        <f t="shared" si="9"/>
        <v>230050</v>
      </c>
      <c r="S55" s="110">
        <v>0</v>
      </c>
      <c r="T55" s="38">
        <f t="shared" si="10"/>
        <v>0</v>
      </c>
      <c r="U55" s="113">
        <v>0</v>
      </c>
      <c r="V55" s="38">
        <f t="shared" si="11"/>
        <v>0</v>
      </c>
      <c r="W55" s="35">
        <v>0</v>
      </c>
      <c r="X55" s="38">
        <f t="shared" si="12"/>
        <v>0</v>
      </c>
      <c r="Y55" s="5"/>
      <c r="Z55" s="5"/>
      <c r="AA55" s="5"/>
    </row>
    <row r="56" spans="1:27" ht="54" customHeight="1">
      <c r="A56" s="22" t="s">
        <v>87</v>
      </c>
      <c r="B56" s="33" t="s">
        <v>88</v>
      </c>
      <c r="C56" s="33" t="s">
        <v>50</v>
      </c>
      <c r="D56" s="114" t="s">
        <v>109</v>
      </c>
      <c r="E56" s="33" t="s">
        <v>104</v>
      </c>
      <c r="F56" s="33" t="s">
        <v>110</v>
      </c>
      <c r="G56" s="33" t="s">
        <v>54</v>
      </c>
      <c r="H56" s="114" t="s">
        <v>150</v>
      </c>
      <c r="I56" s="33" t="s">
        <v>63</v>
      </c>
      <c r="J56" s="44">
        <v>4</v>
      </c>
      <c r="K56" s="108">
        <v>0</v>
      </c>
      <c r="L56" s="109">
        <v>49950</v>
      </c>
      <c r="M56" s="109">
        <v>0</v>
      </c>
      <c r="N56" s="36">
        <f t="shared" si="8"/>
        <v>49950</v>
      </c>
      <c r="O56" s="36"/>
      <c r="P56" s="36"/>
      <c r="Q56" s="36"/>
      <c r="R56" s="36">
        <f t="shared" si="9"/>
        <v>49950</v>
      </c>
      <c r="S56" s="110">
        <v>49950</v>
      </c>
      <c r="T56" s="38">
        <f t="shared" si="10"/>
        <v>1</v>
      </c>
      <c r="U56" s="113">
        <v>0</v>
      </c>
      <c r="V56" s="38">
        <f t="shared" si="11"/>
        <v>0</v>
      </c>
      <c r="W56" s="35">
        <v>0</v>
      </c>
      <c r="X56" s="38">
        <f t="shared" si="12"/>
        <v>0</v>
      </c>
      <c r="Y56" s="5"/>
      <c r="Z56" s="5"/>
      <c r="AA56" s="5"/>
    </row>
    <row r="57" spans="1:27" ht="54" customHeight="1">
      <c r="A57" s="22" t="s">
        <v>87</v>
      </c>
      <c r="B57" s="33" t="s">
        <v>88</v>
      </c>
      <c r="C57" s="33" t="s">
        <v>50</v>
      </c>
      <c r="D57" s="33" t="s">
        <v>61</v>
      </c>
      <c r="E57" s="33" t="s">
        <v>104</v>
      </c>
      <c r="F57" s="33" t="s">
        <v>62</v>
      </c>
      <c r="G57" s="33" t="s">
        <v>54</v>
      </c>
      <c r="H57" s="114" t="s">
        <v>154</v>
      </c>
      <c r="I57" s="33" t="s">
        <v>63</v>
      </c>
      <c r="J57" s="24">
        <v>3</v>
      </c>
      <c r="K57" s="108">
        <v>400000</v>
      </c>
      <c r="L57" s="109">
        <v>0</v>
      </c>
      <c r="M57" s="109">
        <v>0</v>
      </c>
      <c r="N57" s="36">
        <f t="shared" si="8"/>
        <v>400000</v>
      </c>
      <c r="O57" s="36"/>
      <c r="P57" s="36"/>
      <c r="Q57" s="36"/>
      <c r="R57" s="36">
        <f t="shared" si="9"/>
        <v>400000</v>
      </c>
      <c r="S57" s="110">
        <v>36049.5</v>
      </c>
      <c r="T57" s="38">
        <f t="shared" si="10"/>
        <v>9.0123750000000002E-2</v>
      </c>
      <c r="U57" s="115">
        <v>0</v>
      </c>
      <c r="V57" s="38">
        <f t="shared" si="11"/>
        <v>0</v>
      </c>
      <c r="W57" s="35">
        <v>0</v>
      </c>
      <c r="X57" s="38">
        <f t="shared" si="12"/>
        <v>0</v>
      </c>
      <c r="Y57" s="5"/>
      <c r="Z57" s="5"/>
      <c r="AA57" s="5"/>
    </row>
    <row r="58" spans="1:27" ht="54" customHeight="1">
      <c r="A58" s="22" t="s">
        <v>87</v>
      </c>
      <c r="B58" s="23" t="s">
        <v>88</v>
      </c>
      <c r="C58" s="23" t="s">
        <v>50</v>
      </c>
      <c r="D58" s="23" t="s">
        <v>64</v>
      </c>
      <c r="E58" s="33" t="s">
        <v>104</v>
      </c>
      <c r="F58" s="33" t="s">
        <v>66</v>
      </c>
      <c r="G58" s="23" t="s">
        <v>54</v>
      </c>
      <c r="H58" s="104" t="s">
        <v>150</v>
      </c>
      <c r="I58" s="23" t="s">
        <v>63</v>
      </c>
      <c r="J58" s="24">
        <v>3</v>
      </c>
      <c r="K58" s="108">
        <v>20000</v>
      </c>
      <c r="L58" s="105">
        <v>0</v>
      </c>
      <c r="M58" s="105">
        <v>0</v>
      </c>
      <c r="N58" s="26">
        <f t="shared" si="8"/>
        <v>20000</v>
      </c>
      <c r="O58" s="26"/>
      <c r="P58" s="26"/>
      <c r="Q58" s="26"/>
      <c r="R58" s="26">
        <f t="shared" si="9"/>
        <v>20000</v>
      </c>
      <c r="S58" s="110">
        <v>0</v>
      </c>
      <c r="T58" s="28">
        <f t="shared" si="10"/>
        <v>0</v>
      </c>
      <c r="U58" s="106">
        <v>0</v>
      </c>
      <c r="V58" s="28">
        <f t="shared" si="11"/>
        <v>0</v>
      </c>
      <c r="W58" s="25">
        <v>0</v>
      </c>
      <c r="X58" s="28">
        <f t="shared" si="12"/>
        <v>0</v>
      </c>
      <c r="Y58" s="5"/>
      <c r="Z58" s="5"/>
      <c r="AA58" s="5"/>
    </row>
    <row r="59" spans="1:27" ht="54" hidden="1" customHeight="1">
      <c r="A59" s="22" t="s">
        <v>87</v>
      </c>
      <c r="B59" s="23" t="s">
        <v>88</v>
      </c>
      <c r="C59" s="23" t="s">
        <v>50</v>
      </c>
      <c r="D59" s="23" t="s">
        <v>64</v>
      </c>
      <c r="E59" s="33" t="s">
        <v>104</v>
      </c>
      <c r="F59" s="33" t="s">
        <v>66</v>
      </c>
      <c r="G59" s="23" t="s">
        <v>54</v>
      </c>
      <c r="H59" s="23" t="s">
        <v>94</v>
      </c>
      <c r="I59" s="23" t="s">
        <v>63</v>
      </c>
      <c r="J59" s="24">
        <v>3</v>
      </c>
      <c r="K59" s="34"/>
      <c r="L59" s="25"/>
      <c r="M59" s="25"/>
      <c r="N59" s="26">
        <f t="shared" si="8"/>
        <v>0</v>
      </c>
      <c r="O59" s="26"/>
      <c r="P59" s="26"/>
      <c r="Q59" s="26"/>
      <c r="R59" s="26">
        <f t="shared" si="9"/>
        <v>0</v>
      </c>
      <c r="S59" s="37"/>
      <c r="T59" s="28">
        <f t="shared" si="10"/>
        <v>0</v>
      </c>
      <c r="U59" s="29"/>
      <c r="V59" s="28">
        <f t="shared" si="11"/>
        <v>0</v>
      </c>
      <c r="W59" s="25"/>
      <c r="X59" s="28">
        <f t="shared" si="12"/>
        <v>0</v>
      </c>
      <c r="Y59" s="5"/>
      <c r="Z59" s="5"/>
      <c r="AA59" s="5"/>
    </row>
    <row r="60" spans="1:27" ht="54" customHeight="1">
      <c r="A60" s="22" t="s">
        <v>87</v>
      </c>
      <c r="B60" s="23" t="s">
        <v>88</v>
      </c>
      <c r="C60" s="23" t="s">
        <v>50</v>
      </c>
      <c r="D60" s="23" t="s">
        <v>113</v>
      </c>
      <c r="E60" s="33" t="s">
        <v>104</v>
      </c>
      <c r="F60" s="33" t="s">
        <v>114</v>
      </c>
      <c r="G60" s="23" t="s">
        <v>54</v>
      </c>
      <c r="H60" s="104" t="s">
        <v>150</v>
      </c>
      <c r="I60" s="23" t="s">
        <v>63</v>
      </c>
      <c r="J60" s="24">
        <v>3</v>
      </c>
      <c r="K60" s="34">
        <f>38480000-K61</f>
        <v>37980000</v>
      </c>
      <c r="L60" s="105">
        <v>0</v>
      </c>
      <c r="M60" s="105">
        <v>0</v>
      </c>
      <c r="N60" s="26">
        <f t="shared" si="8"/>
        <v>37980000</v>
      </c>
      <c r="O60" s="26"/>
      <c r="P60" s="26"/>
      <c r="Q60" s="26"/>
      <c r="R60" s="26">
        <f t="shared" si="9"/>
        <v>37980000</v>
      </c>
      <c r="S60" s="25">
        <f>15179155.73-S61</f>
        <v>15118526.33</v>
      </c>
      <c r="T60" s="28">
        <f t="shared" si="10"/>
        <v>0.39806546419167982</v>
      </c>
      <c r="U60" s="106">
        <v>564055.87</v>
      </c>
      <c r="V60" s="28">
        <f t="shared" si="11"/>
        <v>1.485139204844655E-2</v>
      </c>
      <c r="W60" s="105">
        <v>562031.35999999999</v>
      </c>
      <c r="X60" s="28">
        <f t="shared" si="12"/>
        <v>1.4798087414428646E-2</v>
      </c>
      <c r="Y60" s="5"/>
      <c r="Z60" s="5"/>
      <c r="AA60" s="5"/>
    </row>
    <row r="61" spans="1:27" ht="54" customHeight="1">
      <c r="A61" s="22" t="s">
        <v>87</v>
      </c>
      <c r="B61" s="23" t="s">
        <v>88</v>
      </c>
      <c r="C61" s="23" t="s">
        <v>50</v>
      </c>
      <c r="D61" s="23" t="s">
        <v>113</v>
      </c>
      <c r="E61" s="33" t="s">
        <v>104</v>
      </c>
      <c r="F61" s="33" t="s">
        <v>114</v>
      </c>
      <c r="G61" s="23" t="s">
        <v>54</v>
      </c>
      <c r="H61" s="104" t="s">
        <v>150</v>
      </c>
      <c r="I61" s="23" t="s">
        <v>63</v>
      </c>
      <c r="J61" s="44">
        <v>4</v>
      </c>
      <c r="K61" s="108">
        <v>500000</v>
      </c>
      <c r="L61" s="105">
        <v>0</v>
      </c>
      <c r="M61" s="105">
        <v>0</v>
      </c>
      <c r="N61" s="26">
        <f t="shared" si="8"/>
        <v>500000</v>
      </c>
      <c r="O61" s="26"/>
      <c r="P61" s="26"/>
      <c r="Q61" s="26"/>
      <c r="R61" s="26">
        <f t="shared" si="9"/>
        <v>500000</v>
      </c>
      <c r="S61" s="25">
        <f>42029.4+18600</f>
        <v>60629.4</v>
      </c>
      <c r="T61" s="28">
        <f t="shared" si="10"/>
        <v>0.1212588</v>
      </c>
      <c r="U61" s="46"/>
      <c r="V61" s="28">
        <f t="shared" si="11"/>
        <v>0</v>
      </c>
      <c r="W61" s="25">
        <v>0</v>
      </c>
      <c r="X61" s="28">
        <f t="shared" si="12"/>
        <v>0</v>
      </c>
      <c r="Y61" s="5"/>
      <c r="Z61" s="5"/>
      <c r="AA61" s="5"/>
    </row>
    <row r="62" spans="1:27" ht="54" hidden="1" customHeight="1">
      <c r="A62" s="22" t="s">
        <v>87</v>
      </c>
      <c r="B62" s="23" t="s">
        <v>88</v>
      </c>
      <c r="C62" s="23" t="s">
        <v>50</v>
      </c>
      <c r="D62" s="23" t="s">
        <v>113</v>
      </c>
      <c r="E62" s="33" t="s">
        <v>104</v>
      </c>
      <c r="F62" s="33" t="s">
        <v>114</v>
      </c>
      <c r="G62" s="23" t="s">
        <v>54</v>
      </c>
      <c r="H62" s="23" t="s">
        <v>94</v>
      </c>
      <c r="I62" s="23" t="s">
        <v>63</v>
      </c>
      <c r="J62" s="24">
        <v>3</v>
      </c>
      <c r="K62" s="34"/>
      <c r="L62" s="25"/>
      <c r="M62" s="25"/>
      <c r="N62" s="26">
        <f t="shared" si="8"/>
        <v>0</v>
      </c>
      <c r="O62" s="26"/>
      <c r="P62" s="26"/>
      <c r="Q62" s="26"/>
      <c r="R62" s="26">
        <f t="shared" si="9"/>
        <v>0</v>
      </c>
      <c r="S62" s="35"/>
      <c r="T62" s="28">
        <f t="shared" si="10"/>
        <v>0</v>
      </c>
      <c r="U62" s="29"/>
      <c r="V62" s="28">
        <f t="shared" si="11"/>
        <v>0</v>
      </c>
      <c r="W62" s="25"/>
      <c r="X62" s="28">
        <f t="shared" si="12"/>
        <v>0</v>
      </c>
      <c r="Y62" s="5"/>
      <c r="Z62" s="5"/>
      <c r="AA62" s="5"/>
    </row>
    <row r="63" spans="1:27" ht="54" hidden="1" customHeight="1">
      <c r="A63" s="22" t="s">
        <v>87</v>
      </c>
      <c r="B63" s="23" t="s">
        <v>88</v>
      </c>
      <c r="C63" s="23" t="s">
        <v>50</v>
      </c>
      <c r="D63" s="23" t="s">
        <v>113</v>
      </c>
      <c r="E63" s="33" t="s">
        <v>104</v>
      </c>
      <c r="F63" s="33" t="s">
        <v>114</v>
      </c>
      <c r="G63" s="23" t="s">
        <v>54</v>
      </c>
      <c r="H63" s="23" t="s">
        <v>94</v>
      </c>
      <c r="I63" s="23" t="s">
        <v>63</v>
      </c>
      <c r="J63" s="44">
        <v>4</v>
      </c>
      <c r="K63" s="34"/>
      <c r="L63" s="25"/>
      <c r="M63" s="25"/>
      <c r="N63" s="26">
        <f t="shared" si="8"/>
        <v>0</v>
      </c>
      <c r="O63" s="26"/>
      <c r="P63" s="26"/>
      <c r="Q63" s="26"/>
      <c r="R63" s="26">
        <f t="shared" si="9"/>
        <v>0</v>
      </c>
      <c r="S63" s="35"/>
      <c r="T63" s="28">
        <f t="shared" si="10"/>
        <v>0</v>
      </c>
      <c r="U63" s="46"/>
      <c r="V63" s="28">
        <f t="shared" si="11"/>
        <v>0</v>
      </c>
      <c r="W63" s="25"/>
      <c r="X63" s="28">
        <f t="shared" si="12"/>
        <v>0</v>
      </c>
      <c r="Y63" s="5"/>
      <c r="Z63" s="5"/>
      <c r="AA63" s="5"/>
    </row>
    <row r="64" spans="1:27" ht="63" hidden="1" customHeight="1">
      <c r="A64" s="22" t="s">
        <v>87</v>
      </c>
      <c r="B64" s="23" t="s">
        <v>88</v>
      </c>
      <c r="C64" s="23" t="s">
        <v>50</v>
      </c>
      <c r="D64" s="23" t="s">
        <v>113</v>
      </c>
      <c r="E64" s="33" t="s">
        <v>65</v>
      </c>
      <c r="F64" s="33" t="s">
        <v>114</v>
      </c>
      <c r="G64" s="23" t="s">
        <v>54</v>
      </c>
      <c r="H64" s="23" t="s">
        <v>115</v>
      </c>
      <c r="I64" s="23" t="s">
        <v>56</v>
      </c>
      <c r="J64" s="24">
        <v>3</v>
      </c>
      <c r="K64" s="34"/>
      <c r="L64" s="25"/>
      <c r="M64" s="25"/>
      <c r="N64" s="26">
        <f t="shared" si="8"/>
        <v>0</v>
      </c>
      <c r="O64" s="26"/>
      <c r="P64" s="26"/>
      <c r="Q64" s="26"/>
      <c r="R64" s="26">
        <f t="shared" si="9"/>
        <v>0</v>
      </c>
      <c r="S64" s="35"/>
      <c r="T64" s="28">
        <f t="shared" si="10"/>
        <v>0</v>
      </c>
      <c r="U64" s="29"/>
      <c r="V64" s="28">
        <f t="shared" si="11"/>
        <v>0</v>
      </c>
      <c r="W64" s="25"/>
      <c r="X64" s="28">
        <f t="shared" si="12"/>
        <v>0</v>
      </c>
      <c r="Y64" s="5"/>
      <c r="Z64" s="5"/>
      <c r="AA64" s="5"/>
    </row>
    <row r="65" spans="1:27" ht="63" customHeight="1">
      <c r="A65" s="22" t="s">
        <v>87</v>
      </c>
      <c r="B65" s="23" t="s">
        <v>88</v>
      </c>
      <c r="C65" s="23" t="s">
        <v>50</v>
      </c>
      <c r="D65" s="23" t="s">
        <v>116</v>
      </c>
      <c r="E65" s="33" t="s">
        <v>65</v>
      </c>
      <c r="F65" s="23" t="s">
        <v>117</v>
      </c>
      <c r="G65" s="23" t="s">
        <v>54</v>
      </c>
      <c r="H65" s="104" t="s">
        <v>150</v>
      </c>
      <c r="I65" s="23" t="s">
        <v>56</v>
      </c>
      <c r="J65" s="24">
        <v>3</v>
      </c>
      <c r="K65" s="108">
        <v>600000</v>
      </c>
      <c r="L65" s="105">
        <v>0</v>
      </c>
      <c r="M65" s="105">
        <v>0</v>
      </c>
      <c r="N65" s="26">
        <f t="shared" si="8"/>
        <v>600000</v>
      </c>
      <c r="O65" s="26"/>
      <c r="P65" s="26"/>
      <c r="Q65" s="26"/>
      <c r="R65" s="26">
        <f t="shared" si="9"/>
        <v>600000</v>
      </c>
      <c r="S65" s="109">
        <v>1767.45</v>
      </c>
      <c r="T65" s="28">
        <f t="shared" si="10"/>
        <v>2.94575E-3</v>
      </c>
      <c r="U65" s="106">
        <v>1767.45</v>
      </c>
      <c r="V65" s="28">
        <f t="shared" si="11"/>
        <v>2.94575E-3</v>
      </c>
      <c r="W65" s="105">
        <v>1767.45</v>
      </c>
      <c r="X65" s="28">
        <f t="shared" si="12"/>
        <v>2.94575E-3</v>
      </c>
      <c r="Y65" s="5"/>
      <c r="Z65" s="5"/>
      <c r="AA65" s="5"/>
    </row>
    <row r="66" spans="1:27" ht="63" customHeight="1">
      <c r="A66" s="22" t="s">
        <v>87</v>
      </c>
      <c r="B66" s="23" t="s">
        <v>88</v>
      </c>
      <c r="C66" s="23" t="s">
        <v>50</v>
      </c>
      <c r="D66" s="23" t="s">
        <v>71</v>
      </c>
      <c r="E66" s="33" t="s">
        <v>65</v>
      </c>
      <c r="F66" s="23" t="s">
        <v>72</v>
      </c>
      <c r="G66" s="23" t="s">
        <v>54</v>
      </c>
      <c r="H66" s="104" t="s">
        <v>150</v>
      </c>
      <c r="I66" s="23" t="s">
        <v>56</v>
      </c>
      <c r="J66" s="24">
        <v>3</v>
      </c>
      <c r="K66" s="108">
        <v>15000</v>
      </c>
      <c r="L66" s="105">
        <v>0</v>
      </c>
      <c r="M66" s="105">
        <v>0</v>
      </c>
      <c r="N66" s="26">
        <f t="shared" si="8"/>
        <v>15000</v>
      </c>
      <c r="O66" s="26"/>
      <c r="P66" s="26"/>
      <c r="Q66" s="26"/>
      <c r="R66" s="26">
        <f t="shared" si="9"/>
        <v>15000</v>
      </c>
      <c r="S66" s="109">
        <v>0</v>
      </c>
      <c r="T66" s="28">
        <f t="shared" si="10"/>
        <v>0</v>
      </c>
      <c r="U66" s="111">
        <v>0</v>
      </c>
      <c r="V66" s="28">
        <f t="shared" si="11"/>
        <v>0</v>
      </c>
      <c r="W66" s="25">
        <v>0</v>
      </c>
      <c r="X66" s="28">
        <f t="shared" si="12"/>
        <v>0</v>
      </c>
      <c r="Y66" s="5"/>
      <c r="Z66" s="5"/>
      <c r="AA66" s="5"/>
    </row>
    <row r="67" spans="1:27" ht="63" hidden="1" customHeight="1">
      <c r="A67" s="22" t="s">
        <v>87</v>
      </c>
      <c r="B67" s="23" t="s">
        <v>88</v>
      </c>
      <c r="C67" s="23" t="s">
        <v>50</v>
      </c>
      <c r="D67" s="23" t="s">
        <v>71</v>
      </c>
      <c r="E67" s="33" t="s">
        <v>65</v>
      </c>
      <c r="F67" s="23" t="s">
        <v>72</v>
      </c>
      <c r="G67" s="23" t="s">
        <v>54</v>
      </c>
      <c r="H67" s="23" t="s">
        <v>94</v>
      </c>
      <c r="I67" s="23" t="s">
        <v>56</v>
      </c>
      <c r="J67" s="24">
        <v>3</v>
      </c>
      <c r="K67" s="34"/>
      <c r="L67" s="25"/>
      <c r="M67" s="25"/>
      <c r="N67" s="26">
        <f t="shared" si="8"/>
        <v>0</v>
      </c>
      <c r="O67" s="26"/>
      <c r="P67" s="26"/>
      <c r="Q67" s="26"/>
      <c r="R67" s="26">
        <f t="shared" si="9"/>
        <v>0</v>
      </c>
      <c r="S67" s="35"/>
      <c r="T67" s="28">
        <f t="shared" si="10"/>
        <v>0</v>
      </c>
      <c r="U67" s="29"/>
      <c r="V67" s="28">
        <f t="shared" si="11"/>
        <v>0</v>
      </c>
      <c r="W67" s="25"/>
      <c r="X67" s="28">
        <f t="shared" si="12"/>
        <v>0</v>
      </c>
      <c r="Y67" s="5"/>
      <c r="Z67" s="5"/>
      <c r="AA67" s="5"/>
    </row>
    <row r="68" spans="1:27" ht="63" customHeight="1">
      <c r="A68" s="22" t="s">
        <v>87</v>
      </c>
      <c r="B68" s="23" t="s">
        <v>88</v>
      </c>
      <c r="C68" s="23" t="s">
        <v>118</v>
      </c>
      <c r="D68" s="23" t="s">
        <v>119</v>
      </c>
      <c r="E68" s="33" t="s">
        <v>65</v>
      </c>
      <c r="F68" s="23" t="s">
        <v>120</v>
      </c>
      <c r="G68" s="23" t="s">
        <v>54</v>
      </c>
      <c r="H68" s="104" t="s">
        <v>150</v>
      </c>
      <c r="I68" s="23" t="s">
        <v>56</v>
      </c>
      <c r="J68" s="24">
        <v>3</v>
      </c>
      <c r="K68" s="34">
        <f>21000000-K69</f>
        <v>20000000</v>
      </c>
      <c r="L68" s="105">
        <v>0</v>
      </c>
      <c r="M68" s="105">
        <v>0</v>
      </c>
      <c r="N68" s="26">
        <f t="shared" si="8"/>
        <v>20000000</v>
      </c>
      <c r="O68" s="26"/>
      <c r="P68" s="26"/>
      <c r="Q68" s="26"/>
      <c r="R68" s="26">
        <f t="shared" si="9"/>
        <v>20000000</v>
      </c>
      <c r="S68" s="35">
        <f>10394860.24</f>
        <v>10394860.24</v>
      </c>
      <c r="T68" s="28">
        <f t="shared" si="10"/>
        <v>0.51974301200000006</v>
      </c>
      <c r="U68" s="106">
        <v>59299.040000000001</v>
      </c>
      <c r="V68" s="28">
        <f t="shared" si="11"/>
        <v>2.9649519999999999E-3</v>
      </c>
      <c r="W68" s="105">
        <v>59299.040000000001</v>
      </c>
      <c r="X68" s="28">
        <f t="shared" si="12"/>
        <v>2.9649519999999999E-3</v>
      </c>
      <c r="Y68" s="5"/>
      <c r="Z68" s="5"/>
      <c r="AA68" s="5"/>
    </row>
    <row r="69" spans="1:27" ht="63" customHeight="1">
      <c r="A69" s="22" t="s">
        <v>87</v>
      </c>
      <c r="B69" s="23" t="s">
        <v>88</v>
      </c>
      <c r="C69" s="23" t="s">
        <v>118</v>
      </c>
      <c r="D69" s="23" t="s">
        <v>119</v>
      </c>
      <c r="E69" s="33" t="s">
        <v>65</v>
      </c>
      <c r="F69" s="23" t="s">
        <v>120</v>
      </c>
      <c r="G69" s="23" t="s">
        <v>54</v>
      </c>
      <c r="H69" s="104" t="s">
        <v>150</v>
      </c>
      <c r="I69" s="23" t="s">
        <v>56</v>
      </c>
      <c r="J69" s="44">
        <v>4</v>
      </c>
      <c r="K69" s="108">
        <v>1000000</v>
      </c>
      <c r="L69" s="105">
        <v>526000</v>
      </c>
      <c r="M69" s="105">
        <v>526000</v>
      </c>
      <c r="N69" s="26">
        <f t="shared" si="8"/>
        <v>1000000</v>
      </c>
      <c r="O69" s="26"/>
      <c r="P69" s="26"/>
      <c r="Q69" s="26"/>
      <c r="R69" s="26">
        <f t="shared" si="9"/>
        <v>1000000</v>
      </c>
      <c r="S69" s="109">
        <v>0</v>
      </c>
      <c r="T69" s="28">
        <f t="shared" si="10"/>
        <v>0</v>
      </c>
      <c r="U69" s="113">
        <v>0</v>
      </c>
      <c r="V69" s="28">
        <f t="shared" si="11"/>
        <v>0</v>
      </c>
      <c r="W69" s="25">
        <v>0</v>
      </c>
      <c r="X69" s="28">
        <f t="shared" si="12"/>
        <v>0</v>
      </c>
      <c r="Y69" s="5"/>
      <c r="Z69" s="5"/>
      <c r="AA69" s="5"/>
    </row>
    <row r="70" spans="1:27" ht="63" hidden="1" customHeight="1">
      <c r="A70" s="22" t="s">
        <v>87</v>
      </c>
      <c r="B70" s="23" t="s">
        <v>88</v>
      </c>
      <c r="C70" s="23" t="s">
        <v>118</v>
      </c>
      <c r="D70" s="23" t="s">
        <v>119</v>
      </c>
      <c r="E70" s="33" t="s">
        <v>65</v>
      </c>
      <c r="F70" s="23" t="s">
        <v>120</v>
      </c>
      <c r="G70" s="23" t="s">
        <v>54</v>
      </c>
      <c r="H70" s="23" t="s">
        <v>94</v>
      </c>
      <c r="I70" s="23" t="s">
        <v>56</v>
      </c>
      <c r="J70" s="24">
        <v>3</v>
      </c>
      <c r="K70" s="34"/>
      <c r="L70" s="25"/>
      <c r="M70" s="25"/>
      <c r="N70" s="26">
        <f t="shared" si="8"/>
        <v>0</v>
      </c>
      <c r="O70" s="26"/>
      <c r="P70" s="26"/>
      <c r="Q70" s="26"/>
      <c r="R70" s="26">
        <f t="shared" si="9"/>
        <v>0</v>
      </c>
      <c r="S70" s="35"/>
      <c r="T70" s="28">
        <f t="shared" si="10"/>
        <v>0</v>
      </c>
      <c r="U70" s="29"/>
      <c r="V70" s="28">
        <f t="shared" si="11"/>
        <v>0</v>
      </c>
      <c r="W70" s="25"/>
      <c r="X70" s="28">
        <f t="shared" si="12"/>
        <v>0</v>
      </c>
      <c r="Y70" s="5"/>
      <c r="Z70" s="5"/>
      <c r="AA70" s="5"/>
    </row>
    <row r="71" spans="1:27" ht="63" hidden="1" customHeight="1">
      <c r="A71" s="22" t="s">
        <v>87</v>
      </c>
      <c r="B71" s="23" t="s">
        <v>88</v>
      </c>
      <c r="C71" s="23" t="s">
        <v>118</v>
      </c>
      <c r="D71" s="23" t="s">
        <v>119</v>
      </c>
      <c r="E71" s="33" t="s">
        <v>65</v>
      </c>
      <c r="F71" s="23" t="s">
        <v>120</v>
      </c>
      <c r="G71" s="23" t="s">
        <v>54</v>
      </c>
      <c r="H71" s="23" t="s">
        <v>94</v>
      </c>
      <c r="I71" s="23" t="s">
        <v>56</v>
      </c>
      <c r="J71" s="44">
        <v>4</v>
      </c>
      <c r="K71" s="34"/>
      <c r="L71" s="25"/>
      <c r="M71" s="25"/>
      <c r="N71" s="26">
        <f t="shared" si="8"/>
        <v>0</v>
      </c>
      <c r="O71" s="26"/>
      <c r="P71" s="26"/>
      <c r="Q71" s="26"/>
      <c r="R71" s="26">
        <f t="shared" si="9"/>
        <v>0</v>
      </c>
      <c r="S71" s="35"/>
      <c r="T71" s="28">
        <f t="shared" si="10"/>
        <v>0</v>
      </c>
      <c r="U71" s="46"/>
      <c r="V71" s="28">
        <f t="shared" si="11"/>
        <v>0</v>
      </c>
      <c r="W71" s="25"/>
      <c r="X71" s="28">
        <f t="shared" si="12"/>
        <v>0</v>
      </c>
      <c r="Y71" s="5"/>
      <c r="Z71" s="5"/>
      <c r="AA71" s="5"/>
    </row>
    <row r="72" spans="1:27" ht="63" customHeight="1">
      <c r="A72" s="22" t="s">
        <v>87</v>
      </c>
      <c r="B72" s="23" t="s">
        <v>88</v>
      </c>
      <c r="C72" s="23" t="s">
        <v>118</v>
      </c>
      <c r="D72" s="23" t="s">
        <v>121</v>
      </c>
      <c r="E72" s="33" t="s">
        <v>65</v>
      </c>
      <c r="F72" s="23" t="s">
        <v>122</v>
      </c>
      <c r="G72" s="23" t="s">
        <v>54</v>
      </c>
      <c r="H72" s="104" t="s">
        <v>150</v>
      </c>
      <c r="I72" s="23" t="s">
        <v>56</v>
      </c>
      <c r="J72" s="24">
        <v>3</v>
      </c>
      <c r="K72" s="34">
        <f>8700000-K73</f>
        <v>8000000</v>
      </c>
      <c r="L72" s="105">
        <v>0</v>
      </c>
      <c r="M72" s="105">
        <v>0</v>
      </c>
      <c r="N72" s="26">
        <f t="shared" si="8"/>
        <v>8000000</v>
      </c>
      <c r="O72" s="26"/>
      <c r="P72" s="26"/>
      <c r="Q72" s="26"/>
      <c r="R72" s="26">
        <f t="shared" si="9"/>
        <v>8000000</v>
      </c>
      <c r="S72" s="35">
        <f>5791258.91</f>
        <v>5791258.9100000001</v>
      </c>
      <c r="T72" s="28">
        <f t="shared" si="10"/>
        <v>0.72390736374999998</v>
      </c>
      <c r="U72" s="106">
        <v>0</v>
      </c>
      <c r="V72" s="28">
        <f t="shared" si="11"/>
        <v>0</v>
      </c>
      <c r="W72" s="25">
        <v>0</v>
      </c>
      <c r="X72" s="28">
        <f t="shared" si="12"/>
        <v>0</v>
      </c>
      <c r="Y72" s="5"/>
      <c r="Z72" s="5"/>
      <c r="AA72" s="5"/>
    </row>
    <row r="73" spans="1:27" ht="63" customHeight="1">
      <c r="A73" s="22" t="s">
        <v>87</v>
      </c>
      <c r="B73" s="23" t="s">
        <v>88</v>
      </c>
      <c r="C73" s="23" t="s">
        <v>118</v>
      </c>
      <c r="D73" s="23" t="s">
        <v>121</v>
      </c>
      <c r="E73" s="33" t="s">
        <v>65</v>
      </c>
      <c r="F73" s="23" t="s">
        <v>122</v>
      </c>
      <c r="G73" s="23" t="s">
        <v>54</v>
      </c>
      <c r="H73" s="104" t="s">
        <v>150</v>
      </c>
      <c r="I73" s="23" t="s">
        <v>56</v>
      </c>
      <c r="J73" s="44">
        <v>4</v>
      </c>
      <c r="K73" s="34">
        <f>200000+500000</f>
        <v>700000</v>
      </c>
      <c r="L73" s="105">
        <v>0</v>
      </c>
      <c r="M73" s="105">
        <v>0</v>
      </c>
      <c r="N73" s="26">
        <f t="shared" si="8"/>
        <v>700000</v>
      </c>
      <c r="O73" s="26"/>
      <c r="P73" s="26"/>
      <c r="Q73" s="26"/>
      <c r="R73" s="26">
        <f t="shared" si="9"/>
        <v>700000</v>
      </c>
      <c r="S73" s="109">
        <v>0</v>
      </c>
      <c r="T73" s="28">
        <f t="shared" si="10"/>
        <v>0</v>
      </c>
      <c r="U73" s="113">
        <v>0</v>
      </c>
      <c r="V73" s="28">
        <f t="shared" si="11"/>
        <v>0</v>
      </c>
      <c r="W73" s="25">
        <v>0</v>
      </c>
      <c r="X73" s="28">
        <f t="shared" si="12"/>
        <v>0</v>
      </c>
      <c r="Y73" s="5"/>
      <c r="Z73" s="5"/>
      <c r="AA73" s="5"/>
    </row>
    <row r="74" spans="1:27" ht="63" hidden="1" customHeight="1">
      <c r="A74" s="22" t="s">
        <v>87</v>
      </c>
      <c r="B74" s="23" t="s">
        <v>88</v>
      </c>
      <c r="C74" s="23" t="s">
        <v>118</v>
      </c>
      <c r="D74" s="23" t="s">
        <v>121</v>
      </c>
      <c r="E74" s="33" t="s">
        <v>65</v>
      </c>
      <c r="F74" s="23" t="s">
        <v>122</v>
      </c>
      <c r="G74" s="23" t="s">
        <v>54</v>
      </c>
      <c r="H74" s="23" t="s">
        <v>94</v>
      </c>
      <c r="I74" s="23" t="s">
        <v>56</v>
      </c>
      <c r="J74" s="44">
        <v>4</v>
      </c>
      <c r="K74" s="34"/>
      <c r="L74" s="25"/>
      <c r="M74" s="25"/>
      <c r="N74" s="26">
        <f t="shared" si="8"/>
        <v>0</v>
      </c>
      <c r="O74" s="26"/>
      <c r="P74" s="26"/>
      <c r="Q74" s="26"/>
      <c r="R74" s="26">
        <f t="shared" si="9"/>
        <v>0</v>
      </c>
      <c r="S74" s="35"/>
      <c r="T74" s="28">
        <f t="shared" si="10"/>
        <v>0</v>
      </c>
      <c r="U74" s="46"/>
      <c r="V74" s="28">
        <f t="shared" si="11"/>
        <v>0</v>
      </c>
      <c r="W74" s="25"/>
      <c r="X74" s="28">
        <f t="shared" si="12"/>
        <v>0</v>
      </c>
      <c r="Y74" s="5"/>
      <c r="Z74" s="5"/>
      <c r="AA74" s="5"/>
    </row>
    <row r="75" spans="1:27" ht="63" customHeight="1">
      <c r="A75" s="22" t="s">
        <v>87</v>
      </c>
      <c r="B75" s="23" t="s">
        <v>88</v>
      </c>
      <c r="C75" s="23" t="s">
        <v>76</v>
      </c>
      <c r="D75" s="23" t="s">
        <v>77</v>
      </c>
      <c r="E75" s="33" t="s">
        <v>65</v>
      </c>
      <c r="F75" s="23" t="s">
        <v>123</v>
      </c>
      <c r="G75" s="23" t="s">
        <v>54</v>
      </c>
      <c r="H75" s="104" t="s">
        <v>154</v>
      </c>
      <c r="I75" s="23" t="s">
        <v>56</v>
      </c>
      <c r="J75" s="24">
        <v>3</v>
      </c>
      <c r="K75" s="108">
        <v>998000</v>
      </c>
      <c r="L75" s="105">
        <v>396000</v>
      </c>
      <c r="M75" s="105">
        <v>396000</v>
      </c>
      <c r="N75" s="26">
        <f t="shared" si="8"/>
        <v>998000</v>
      </c>
      <c r="O75" s="26"/>
      <c r="P75" s="26"/>
      <c r="Q75" s="26"/>
      <c r="R75" s="26">
        <f t="shared" si="9"/>
        <v>998000</v>
      </c>
      <c r="S75" s="109">
        <v>434300</v>
      </c>
      <c r="T75" s="28">
        <f t="shared" si="10"/>
        <v>0.43517034068136273</v>
      </c>
      <c r="U75" s="106">
        <v>0</v>
      </c>
      <c r="V75" s="28">
        <f t="shared" si="11"/>
        <v>0</v>
      </c>
      <c r="W75" s="25">
        <v>0</v>
      </c>
      <c r="X75" s="28">
        <f t="shared" si="12"/>
        <v>0</v>
      </c>
      <c r="Y75" s="5"/>
      <c r="Z75" s="5"/>
      <c r="AA75" s="5"/>
    </row>
    <row r="76" spans="1:27" ht="63" customHeight="1">
      <c r="A76" s="22" t="s">
        <v>87</v>
      </c>
      <c r="B76" s="23" t="s">
        <v>88</v>
      </c>
      <c r="C76" s="23" t="s">
        <v>76</v>
      </c>
      <c r="D76" s="23" t="s">
        <v>77</v>
      </c>
      <c r="E76" s="33" t="s">
        <v>65</v>
      </c>
      <c r="F76" s="23" t="s">
        <v>123</v>
      </c>
      <c r="G76" s="23" t="s">
        <v>54</v>
      </c>
      <c r="H76" s="23" t="s">
        <v>112</v>
      </c>
      <c r="I76" s="23" t="s">
        <v>56</v>
      </c>
      <c r="J76" s="24">
        <v>3</v>
      </c>
      <c r="K76" s="34"/>
      <c r="L76" s="25"/>
      <c r="M76" s="25"/>
      <c r="N76" s="26">
        <f t="shared" si="8"/>
        <v>0</v>
      </c>
      <c r="O76" s="26"/>
      <c r="P76" s="26"/>
      <c r="Q76" s="26"/>
      <c r="R76" s="26">
        <f t="shared" si="9"/>
        <v>0</v>
      </c>
      <c r="S76" s="35"/>
      <c r="T76" s="28">
        <f t="shared" si="10"/>
        <v>0</v>
      </c>
      <c r="U76" s="29"/>
      <c r="V76" s="28">
        <f t="shared" si="11"/>
        <v>0</v>
      </c>
      <c r="W76" s="25">
        <v>0</v>
      </c>
      <c r="X76" s="28">
        <f t="shared" si="12"/>
        <v>0</v>
      </c>
      <c r="Y76" s="5"/>
      <c r="Z76" s="5"/>
      <c r="AA76" s="5"/>
    </row>
    <row r="77" spans="1:27" ht="15.75" customHeight="1">
      <c r="A77" s="141" t="s">
        <v>124</v>
      </c>
      <c r="B77" s="140"/>
      <c r="C77" s="140"/>
      <c r="D77" s="140"/>
      <c r="E77" s="140"/>
      <c r="F77" s="140"/>
      <c r="G77" s="140"/>
      <c r="H77" s="140"/>
      <c r="I77" s="140"/>
      <c r="J77" s="135"/>
      <c r="K77" s="39">
        <f t="shared" ref="K77:S77" si="13">SUM(K34:K76)</f>
        <v>151078000</v>
      </c>
      <c r="L77" s="39">
        <f t="shared" si="13"/>
        <v>11471227.08</v>
      </c>
      <c r="M77" s="39">
        <f t="shared" si="13"/>
        <v>11471227.08</v>
      </c>
      <c r="N77" s="39">
        <f t="shared" si="13"/>
        <v>151078000</v>
      </c>
      <c r="O77" s="39">
        <f t="shared" si="13"/>
        <v>0</v>
      </c>
      <c r="P77" s="39">
        <f t="shared" si="13"/>
        <v>0</v>
      </c>
      <c r="Q77" s="39">
        <f t="shared" si="13"/>
        <v>0</v>
      </c>
      <c r="R77" s="39">
        <f t="shared" si="13"/>
        <v>151078000</v>
      </c>
      <c r="S77" s="39">
        <f t="shared" si="13"/>
        <v>57170147.930000007</v>
      </c>
      <c r="T77" s="40">
        <f t="shared" si="10"/>
        <v>0.37841477865738232</v>
      </c>
      <c r="U77" s="39">
        <f>SUM(U34:U76)</f>
        <v>1962667.4000000001</v>
      </c>
      <c r="V77" s="40">
        <f t="shared" si="11"/>
        <v>1.2991086723414397E-2</v>
      </c>
      <c r="W77" s="39">
        <f>SUM(W34:W76)</f>
        <v>1924762.97</v>
      </c>
      <c r="X77" s="40">
        <f t="shared" si="12"/>
        <v>1.274019360859953E-2</v>
      </c>
      <c r="Y77" s="5"/>
      <c r="Z77" s="5"/>
      <c r="AA77" s="5"/>
    </row>
    <row r="78" spans="1:27" ht="15.75" customHeight="1">
      <c r="A78" s="142" t="s">
        <v>125</v>
      </c>
      <c r="B78" s="140"/>
      <c r="C78" s="140"/>
      <c r="D78" s="140"/>
      <c r="E78" s="140"/>
      <c r="F78" s="140"/>
      <c r="G78" s="140"/>
      <c r="H78" s="140"/>
      <c r="I78" s="140"/>
      <c r="J78" s="135"/>
      <c r="K78" s="57">
        <f t="shared" ref="K78:S78" si="14">SUM(K31+K77)</f>
        <v>1094864000</v>
      </c>
      <c r="L78" s="57">
        <f t="shared" si="14"/>
        <v>17907227.079999998</v>
      </c>
      <c r="M78" s="57">
        <f t="shared" si="14"/>
        <v>17907227.079999998</v>
      </c>
      <c r="N78" s="57">
        <f t="shared" si="14"/>
        <v>1094864000</v>
      </c>
      <c r="O78" s="57">
        <f t="shared" si="14"/>
        <v>0</v>
      </c>
      <c r="P78" s="57">
        <f t="shared" si="14"/>
        <v>0</v>
      </c>
      <c r="Q78" s="57">
        <f t="shared" si="14"/>
        <v>0</v>
      </c>
      <c r="R78" s="57">
        <f t="shared" si="14"/>
        <v>1094864000</v>
      </c>
      <c r="S78" s="57">
        <f t="shared" si="14"/>
        <v>130930296.77000001</v>
      </c>
      <c r="T78" s="58">
        <f t="shared" si="10"/>
        <v>0.11958589995652429</v>
      </c>
      <c r="U78" s="57">
        <f>SUM(U31+U77)</f>
        <v>75612635.25</v>
      </c>
      <c r="V78" s="58">
        <f t="shared" si="11"/>
        <v>6.906121239715618E-2</v>
      </c>
      <c r="W78" s="57">
        <f>SUM(W31+W77)</f>
        <v>74155797.840000004</v>
      </c>
      <c r="X78" s="58">
        <f t="shared" si="12"/>
        <v>6.7730602010843355E-2</v>
      </c>
      <c r="Y78" s="30"/>
      <c r="Z78" s="5"/>
      <c r="AA78" s="5"/>
    </row>
    <row r="79" spans="1:27" ht="14.25" customHeight="1">
      <c r="A79" s="59" t="s">
        <v>126</v>
      </c>
      <c r="B79" s="60"/>
      <c r="C79" s="60"/>
      <c r="D79" s="60"/>
      <c r="E79" s="60"/>
      <c r="F79" s="60"/>
      <c r="G79" s="60"/>
      <c r="H79" s="61"/>
      <c r="I79" s="61"/>
      <c r="J79" s="61"/>
      <c r="K79" s="60"/>
      <c r="L79" s="60"/>
      <c r="M79" s="62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5"/>
      <c r="Z79" s="5"/>
      <c r="AA79" s="5"/>
    </row>
    <row r="80" spans="1:27" ht="14.25" customHeight="1">
      <c r="A80" s="59" t="s">
        <v>127</v>
      </c>
      <c r="B80" s="64"/>
      <c r="C80" s="60"/>
      <c r="D80" s="60"/>
      <c r="E80" s="60"/>
      <c r="F80" s="60"/>
      <c r="G80" s="60"/>
      <c r="H80" s="61"/>
      <c r="I80" s="61"/>
      <c r="J80" s="61"/>
      <c r="K80" s="60"/>
      <c r="L80" s="60"/>
      <c r="M80" s="62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5"/>
      <c r="Z80" s="5"/>
      <c r="AA80" s="5"/>
    </row>
    <row r="81" spans="1:27" ht="14.25" customHeight="1">
      <c r="A81" s="143" t="s">
        <v>128</v>
      </c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35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5"/>
      <c r="Z81" s="5"/>
      <c r="AA81" s="5"/>
    </row>
    <row r="82" spans="1:27" ht="14.25" customHeight="1">
      <c r="A82" s="6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63"/>
      <c r="O82" s="63"/>
      <c r="P82" s="63"/>
      <c r="Q82" s="5"/>
      <c r="R82" s="5"/>
      <c r="S82" s="5"/>
      <c r="T82" s="5"/>
      <c r="U82" s="5"/>
      <c r="V82" s="5"/>
      <c r="W82" s="5"/>
      <c r="X82" s="66"/>
      <c r="Y82" s="5"/>
      <c r="Z82" s="5"/>
      <c r="AA82" s="5"/>
    </row>
    <row r="83" spans="1:27" ht="14.25" customHeight="1">
      <c r="A83" s="144"/>
      <c r="B83" s="145"/>
      <c r="C83" s="145"/>
      <c r="D83" s="145"/>
      <c r="E83" s="145"/>
      <c r="F83" s="145"/>
      <c r="G83" s="145"/>
      <c r="H83" s="146"/>
      <c r="I83" s="5"/>
      <c r="J83" s="5"/>
      <c r="K83" s="5"/>
      <c r="L83" s="5"/>
      <c r="M83" s="5"/>
      <c r="N83" s="63"/>
      <c r="O83" s="63"/>
      <c r="P83" s="63"/>
      <c r="Q83" s="5"/>
      <c r="R83" s="5"/>
      <c r="S83" s="5"/>
      <c r="T83" s="5"/>
      <c r="U83" s="5"/>
      <c r="V83" s="5"/>
      <c r="W83" s="5"/>
      <c r="X83" s="66"/>
      <c r="Y83" s="5"/>
      <c r="Z83" s="5"/>
      <c r="AA83" s="5"/>
    </row>
    <row r="84" spans="1:27" ht="14.25" customHeight="1">
      <c r="A84" s="147"/>
      <c r="B84" s="133"/>
      <c r="C84" s="133"/>
      <c r="D84" s="133"/>
      <c r="E84" s="133"/>
      <c r="F84" s="133"/>
      <c r="G84" s="133"/>
      <c r="H84" s="148"/>
      <c r="I84" s="3"/>
      <c r="J84" s="3"/>
      <c r="K84" s="67"/>
      <c r="L84" s="67"/>
      <c r="M84" s="67"/>
      <c r="N84" s="67"/>
      <c r="O84" s="67"/>
      <c r="P84" s="67"/>
      <c r="Q84" s="5"/>
      <c r="R84" s="5"/>
      <c r="S84" s="5"/>
      <c r="T84" s="5"/>
      <c r="U84" s="5"/>
      <c r="V84" s="5"/>
      <c r="W84" s="5"/>
      <c r="X84" s="66"/>
      <c r="Y84" s="30"/>
      <c r="Z84" s="5"/>
      <c r="AA84" s="5"/>
    </row>
    <row r="85" spans="1:27" ht="14.25" customHeight="1">
      <c r="A85" s="149"/>
      <c r="B85" s="150"/>
      <c r="C85" s="150"/>
      <c r="D85" s="150"/>
      <c r="E85" s="150"/>
      <c r="F85" s="150"/>
      <c r="G85" s="150"/>
      <c r="H85" s="151"/>
      <c r="I85" s="3"/>
      <c r="J85" s="3"/>
      <c r="K85" s="67"/>
      <c r="L85" s="67"/>
      <c r="M85" s="67"/>
      <c r="N85" s="67"/>
      <c r="O85" s="67"/>
      <c r="P85" s="67"/>
      <c r="Q85" s="5"/>
      <c r="R85" s="5"/>
      <c r="S85" s="5"/>
      <c r="T85" s="5"/>
      <c r="U85" s="68"/>
      <c r="V85" s="5"/>
      <c r="W85" s="5"/>
      <c r="X85" s="66"/>
      <c r="Y85" s="30"/>
      <c r="Z85" s="5"/>
      <c r="AA85" s="5"/>
    </row>
    <row r="86" spans="1:27" ht="14.25" customHeight="1">
      <c r="A86" s="69"/>
      <c r="B86" s="69"/>
      <c r="C86" s="69"/>
      <c r="D86" s="63"/>
      <c r="E86" s="63"/>
      <c r="F86" s="63"/>
      <c r="G86" s="63"/>
      <c r="H86" s="3"/>
      <c r="I86" s="3"/>
      <c r="J86" s="3"/>
      <c r="K86" s="67"/>
      <c r="L86" s="67"/>
      <c r="M86" s="67"/>
      <c r="N86" s="67"/>
      <c r="O86" s="67"/>
      <c r="P86" s="67"/>
      <c r="Q86" s="5"/>
      <c r="R86" s="5"/>
      <c r="S86" s="5"/>
      <c r="T86" s="5"/>
      <c r="U86" s="68"/>
      <c r="V86" s="5"/>
      <c r="W86" s="5"/>
      <c r="X86" s="66"/>
      <c r="Y86" s="30"/>
      <c r="Z86" s="5"/>
      <c r="AA86" s="5"/>
    </row>
    <row r="87" spans="1:27" ht="14.25" customHeight="1">
      <c r="A87" s="69"/>
      <c r="B87" s="69"/>
      <c r="C87" s="69"/>
      <c r="D87" s="63"/>
      <c r="E87" s="63"/>
      <c r="F87" s="63"/>
      <c r="G87" s="63"/>
      <c r="H87" s="3"/>
      <c r="I87" s="3"/>
      <c r="J87" s="3"/>
      <c r="K87" s="67"/>
      <c r="L87" s="67"/>
      <c r="M87" s="67"/>
      <c r="N87" s="67"/>
      <c r="O87" s="67"/>
      <c r="P87" s="67"/>
      <c r="Q87" s="5"/>
      <c r="R87" s="5"/>
      <c r="S87" s="5"/>
      <c r="T87" s="5"/>
      <c r="U87" s="68"/>
      <c r="V87" s="5"/>
      <c r="W87" s="5"/>
      <c r="X87" s="66"/>
      <c r="Y87" s="30"/>
      <c r="Z87" s="5"/>
      <c r="AA87" s="5"/>
    </row>
    <row r="88" spans="1:27" ht="14.25" customHeight="1">
      <c r="A88" s="70"/>
      <c r="B88" s="70"/>
      <c r="C88" s="70"/>
      <c r="D88" s="70"/>
      <c r="E88" s="70"/>
      <c r="F88" s="70"/>
      <c r="G88" s="63"/>
      <c r="H88" s="3"/>
      <c r="I88" s="3"/>
      <c r="J88" s="3"/>
      <c r="K88" s="67"/>
      <c r="L88" s="63"/>
      <c r="M88" s="63"/>
      <c r="N88" s="63"/>
      <c r="O88" s="63"/>
      <c r="P88" s="63"/>
      <c r="Q88" s="5"/>
      <c r="R88" s="5"/>
      <c r="S88" s="5"/>
      <c r="T88" s="5"/>
      <c r="U88" s="68"/>
      <c r="V88" s="5"/>
      <c r="W88" s="5"/>
      <c r="X88" s="63"/>
      <c r="Y88" s="5"/>
      <c r="Z88" s="5"/>
      <c r="AA88" s="5"/>
    </row>
    <row r="89" spans="1:27" ht="14.25" customHeight="1">
      <c r="A89" s="70"/>
      <c r="B89" s="70"/>
      <c r="C89" s="70"/>
      <c r="D89" s="70"/>
      <c r="E89" s="70"/>
      <c r="F89" s="70"/>
      <c r="G89" s="63"/>
      <c r="H89" s="3"/>
      <c r="I89" s="3"/>
      <c r="J89" s="3"/>
      <c r="K89" s="67"/>
      <c r="L89" s="63"/>
      <c r="M89" s="63"/>
      <c r="N89" s="63"/>
      <c r="O89" s="63"/>
      <c r="P89" s="63"/>
      <c r="Q89" s="5"/>
      <c r="R89" s="5"/>
      <c r="S89" s="5"/>
      <c r="T89" s="5"/>
      <c r="U89" s="5"/>
      <c r="V89" s="5"/>
      <c r="W89" s="5"/>
      <c r="X89" s="63"/>
      <c r="Y89" s="5"/>
      <c r="Z89" s="5"/>
      <c r="AA89" s="5"/>
    </row>
    <row r="90" spans="1:27" ht="15.75" customHeight="1">
      <c r="A90" s="70"/>
      <c r="B90" s="70"/>
      <c r="C90" s="70"/>
      <c r="D90" s="70"/>
      <c r="E90" s="70"/>
      <c r="F90" s="70"/>
      <c r="G90" s="63"/>
      <c r="H90" s="3"/>
      <c r="I90" s="3"/>
      <c r="J90" s="3"/>
      <c r="K90" s="63"/>
      <c r="L90" s="63"/>
      <c r="M90" s="63"/>
      <c r="N90" s="63"/>
      <c r="O90" s="63"/>
      <c r="P90" s="63"/>
      <c r="Q90" s="71" t="s">
        <v>34</v>
      </c>
      <c r="R90" s="71"/>
      <c r="S90" s="72"/>
      <c r="T90" s="71" t="s">
        <v>35</v>
      </c>
      <c r="U90" s="71"/>
      <c r="V90" s="66"/>
      <c r="W90" s="73" t="s">
        <v>129</v>
      </c>
      <c r="X90" s="63"/>
      <c r="Y90" s="5"/>
      <c r="Z90" s="5"/>
      <c r="AA90" s="5"/>
    </row>
    <row r="91" spans="1:27" ht="14.25" customHeight="1">
      <c r="A91" s="70"/>
      <c r="B91" s="70"/>
      <c r="C91" s="70"/>
      <c r="D91" s="70"/>
      <c r="E91" s="70"/>
      <c r="F91" s="70"/>
      <c r="G91" s="63"/>
      <c r="H91" s="3"/>
      <c r="I91" s="3"/>
      <c r="J91" s="3"/>
      <c r="K91" s="74"/>
      <c r="L91" s="74"/>
      <c r="M91" s="74"/>
      <c r="N91" s="74"/>
      <c r="O91" s="74"/>
      <c r="P91" s="74"/>
      <c r="Q91" s="75">
        <v>1</v>
      </c>
      <c r="R91" s="76"/>
      <c r="S91" s="66"/>
      <c r="T91" s="77">
        <v>1</v>
      </c>
      <c r="U91" s="76">
        <f>U17+U18+U20+U21+U22+U25+U26+U28+U29+U30</f>
        <v>63429089.030000001</v>
      </c>
      <c r="V91" s="66"/>
      <c r="W91" s="78">
        <f t="shared" ref="W91:W93" si="15">U91-R91</f>
        <v>63429089.030000001</v>
      </c>
      <c r="X91" s="63"/>
      <c r="Y91" s="68"/>
      <c r="Z91" s="5"/>
      <c r="AA91" s="5"/>
    </row>
    <row r="92" spans="1:27" ht="14.25" customHeight="1">
      <c r="A92" s="1"/>
      <c r="B92" s="79"/>
      <c r="C92" s="79"/>
      <c r="D92" s="79"/>
      <c r="E92" s="1"/>
      <c r="F92" s="1"/>
      <c r="G92" s="1"/>
      <c r="H92" s="2"/>
      <c r="I92" s="2"/>
      <c r="J92" s="3"/>
      <c r="K92" s="80"/>
      <c r="L92" s="80"/>
      <c r="M92" s="80"/>
      <c r="N92" s="80"/>
      <c r="O92" s="80"/>
      <c r="P92" s="80"/>
      <c r="Q92" s="81">
        <v>3</v>
      </c>
      <c r="R92" s="82"/>
      <c r="S92" s="83"/>
      <c r="T92" s="84">
        <v>3</v>
      </c>
      <c r="U92" s="82">
        <f>U15+U16+U19+U23+U24+U27+U35+U37+U41+U47+U49+U50+U51+U54+U57+U58+U59+U60+U62+U64+U65+U66+U67+U68+U70+U72+U75+U76</f>
        <v>12183546.219999997</v>
      </c>
      <c r="V92" s="85"/>
      <c r="W92" s="86">
        <f t="shared" si="15"/>
        <v>12183546.219999997</v>
      </c>
      <c r="X92" s="1"/>
      <c r="Y92" s="68"/>
      <c r="Z92" s="5"/>
      <c r="AA92" s="5"/>
    </row>
    <row r="93" spans="1:27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87">
        <v>4</v>
      </c>
      <c r="R93" s="88"/>
      <c r="S93" s="83"/>
      <c r="T93" s="89">
        <v>4</v>
      </c>
      <c r="U93" s="88">
        <f>U34+U36+U38+U40+U42+U43+U48+U52+U53+U55+U61+U63+U69+U71+U73+U74</f>
        <v>0</v>
      </c>
      <c r="V93" s="90"/>
      <c r="W93" s="91">
        <f t="shared" si="15"/>
        <v>0</v>
      </c>
      <c r="X93" s="5"/>
      <c r="Y93" s="5"/>
      <c r="Z93" s="5"/>
      <c r="AA93" s="5"/>
    </row>
    <row r="94" spans="1:27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152" t="s">
        <v>130</v>
      </c>
      <c r="L94" s="153"/>
      <c r="M94" s="153"/>
      <c r="N94" s="154"/>
      <c r="O94" s="5"/>
      <c r="P94" s="5"/>
      <c r="Q94" s="134" t="s">
        <v>131</v>
      </c>
      <c r="R94" s="135"/>
      <c r="S94" s="63"/>
      <c r="T94" s="136" t="s">
        <v>132</v>
      </c>
      <c r="U94" s="135"/>
      <c r="V94" s="90"/>
      <c r="W94" s="85"/>
      <c r="X94" s="5"/>
      <c r="Y94" s="5"/>
      <c r="Z94" s="5"/>
      <c r="AA94" s="5"/>
    </row>
    <row r="95" spans="1:27" ht="14.25" customHeight="1">
      <c r="A95" s="5"/>
      <c r="B95" s="5"/>
      <c r="C95" s="5" t="s">
        <v>133</v>
      </c>
      <c r="D95" s="5"/>
      <c r="E95" s="5"/>
      <c r="F95" s="132" t="s">
        <v>134</v>
      </c>
      <c r="G95" s="133"/>
      <c r="H95" s="133"/>
      <c r="I95" s="133"/>
      <c r="J95" s="5"/>
      <c r="K95" s="92"/>
      <c r="L95" s="92"/>
      <c r="M95" s="92"/>
      <c r="N95" s="92"/>
      <c r="O95" s="5"/>
      <c r="P95" s="5"/>
      <c r="Q95" s="74"/>
      <c r="R95" s="74"/>
      <c r="S95" s="74"/>
      <c r="T95" s="13"/>
      <c r="U95" s="85"/>
      <c r="V95" s="90"/>
      <c r="W95" s="5"/>
      <c r="X95" s="68"/>
      <c r="Y95" s="5"/>
      <c r="Z95" s="5"/>
      <c r="AA95" s="5"/>
    </row>
    <row r="96" spans="1:27" ht="14.25" customHeight="1">
      <c r="A96" s="5"/>
      <c r="B96" s="5"/>
      <c r="C96" s="5" t="s">
        <v>135</v>
      </c>
      <c r="D96" s="5"/>
      <c r="E96" s="5"/>
      <c r="F96" s="5" t="s">
        <v>135</v>
      </c>
      <c r="G96" s="5"/>
      <c r="H96" s="5"/>
      <c r="I96" s="5"/>
      <c r="J96" s="5"/>
      <c r="K96" s="92"/>
      <c r="L96" s="92" t="s">
        <v>135</v>
      </c>
      <c r="M96" s="92"/>
      <c r="N96" s="92"/>
      <c r="O96" s="5"/>
      <c r="P96" s="5"/>
      <c r="Q96" s="80"/>
      <c r="R96" s="80"/>
      <c r="S96" s="80"/>
      <c r="T96" s="93" t="s">
        <v>136</v>
      </c>
      <c r="U96" s="94">
        <f>SUM(U91:U93)</f>
        <v>75612635.25</v>
      </c>
      <c r="V96" s="5"/>
      <c r="W96" s="68">
        <f>SUM(W91:W95)</f>
        <v>75612635.25</v>
      </c>
      <c r="X96" s="68"/>
      <c r="Y96" s="68"/>
      <c r="Z96" s="5"/>
      <c r="AA96" s="5"/>
    </row>
    <row r="97" spans="1:27" ht="14.25" customHeight="1">
      <c r="A97" s="5"/>
      <c r="B97" s="5"/>
      <c r="C97" s="5">
        <v>1</v>
      </c>
      <c r="D97" s="30">
        <f>W17+W18+W21+W22+W25+W26+W28+W29+W30</f>
        <v>62010156.049999997</v>
      </c>
      <c r="E97" s="5"/>
      <c r="F97" s="5">
        <v>1</v>
      </c>
      <c r="G97" s="30">
        <f>S17+S18+S21+S22+S25+S26+S28+S29+S30</f>
        <v>63539270.019999996</v>
      </c>
      <c r="H97" s="5"/>
      <c r="I97" s="5"/>
      <c r="J97" s="5"/>
      <c r="K97" s="95" t="s">
        <v>137</v>
      </c>
      <c r="L97" s="95">
        <v>1</v>
      </c>
      <c r="M97" s="96">
        <f>L17+L18+L21+L22+L25+L26+L28+L29+L30</f>
        <v>6436000</v>
      </c>
      <c r="N97" s="97">
        <f>M97-M98+Q78</f>
        <v>0</v>
      </c>
      <c r="O97" s="5"/>
      <c r="P97" s="5"/>
      <c r="Q97" s="5"/>
      <c r="R97" s="98"/>
      <c r="S97" s="5"/>
      <c r="T97" s="5"/>
      <c r="U97" s="5"/>
      <c r="V97" s="5"/>
      <c r="W97" s="5"/>
      <c r="X97" s="68"/>
      <c r="Y97" s="5"/>
      <c r="Z97" s="5"/>
      <c r="AA97" s="5"/>
    </row>
    <row r="98" spans="1:27" ht="14.25" customHeight="1">
      <c r="A98" s="5"/>
      <c r="B98" s="5"/>
      <c r="C98" s="5">
        <v>3</v>
      </c>
      <c r="D98" s="30">
        <f>W15+W16+W19+W23+W24+W27+W35+W37+W41+W47+W49+W50+W51+W54+W57+W58+W59+W60+W62+W64+W65+W66+W67+W68+W70+W72+W75+W76</f>
        <v>12145641.789999999</v>
      </c>
      <c r="E98" s="5"/>
      <c r="F98" s="5">
        <v>3</v>
      </c>
      <c r="G98" s="30">
        <f>S15+S16+S19+S23+S24+S27+S35+S37+S41+S47+S49+S50+S51+S54+S57+S58+S59+S60+S62+S64+S65+S66+S67+S68+S70+S72+S75+S76</f>
        <v>63216015.570000008</v>
      </c>
      <c r="H98" s="5"/>
      <c r="I98" s="5"/>
      <c r="J98" s="5"/>
      <c r="K98" s="92" t="s">
        <v>138</v>
      </c>
      <c r="L98" s="92">
        <v>1</v>
      </c>
      <c r="M98" s="99">
        <f>M17+M18+M21+M22+M25+M26+M28+M29+M30</f>
        <v>6436000</v>
      </c>
      <c r="N98" s="92"/>
      <c r="O98" s="5"/>
      <c r="P98" s="5"/>
      <c r="Q98" s="5"/>
      <c r="R98" s="98"/>
      <c r="S98" s="5"/>
      <c r="T98" s="5"/>
      <c r="U98" s="5"/>
      <c r="V98" s="5"/>
      <c r="W98" s="5"/>
      <c r="X98" s="68"/>
      <c r="Y98" s="68"/>
      <c r="Z98" s="5"/>
      <c r="AA98" s="5"/>
    </row>
    <row r="99" spans="1:27" ht="14.25" customHeight="1">
      <c r="A99" s="5"/>
      <c r="B99" s="5"/>
      <c r="C99" s="5">
        <v>4</v>
      </c>
      <c r="D99" s="100">
        <f>W34+W36+W38+W40+W42+W43+W48+W52+W53+W55+W61+W63+W69+W71+W73+W74</f>
        <v>0</v>
      </c>
      <c r="E99" s="5"/>
      <c r="F99" s="5">
        <v>4</v>
      </c>
      <c r="G99" s="30">
        <f>S34+S36+S38+S40+S42+S43+S48+S52+S53+S55+S61+S63+S69+S71+S73+S74</f>
        <v>702485.19000000006</v>
      </c>
      <c r="H99" s="5"/>
      <c r="I99" s="5"/>
      <c r="J99" s="5"/>
      <c r="K99" s="92"/>
      <c r="L99" s="92"/>
      <c r="M99" s="92"/>
      <c r="N99" s="92"/>
      <c r="O99" s="5"/>
      <c r="P99" s="5"/>
      <c r="Q99" s="5"/>
      <c r="R99" s="98"/>
      <c r="S99" s="5"/>
      <c r="T99" s="101" t="s">
        <v>139</v>
      </c>
      <c r="U99" s="102">
        <f>U15+U16+U19+U23+U24+U27</f>
        <v>10220878.82</v>
      </c>
      <c r="V99" s="5"/>
      <c r="W99" s="68"/>
      <c r="X99" s="68"/>
      <c r="Y99" s="5"/>
      <c r="Z99" s="5"/>
      <c r="AA99" s="5"/>
    </row>
    <row r="100" spans="1:27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92"/>
      <c r="L100" s="92"/>
      <c r="M100" s="97">
        <f>M97-M98</f>
        <v>0</v>
      </c>
      <c r="N100" s="92"/>
      <c r="O100" s="5"/>
      <c r="P100" s="5"/>
      <c r="Q100" s="5"/>
      <c r="R100" s="5"/>
      <c r="S100" s="5"/>
      <c r="T100" s="101" t="s">
        <v>140</v>
      </c>
      <c r="U100" s="102">
        <f>U41+U43+U51+U52+U54+U58+U60+U61+U62+U65</f>
        <v>565823.31999999995</v>
      </c>
      <c r="V100" s="68"/>
      <c r="W100" s="68"/>
      <c r="X100" s="68"/>
      <c r="Y100" s="5"/>
      <c r="Z100" s="5"/>
      <c r="AA100" s="5"/>
    </row>
    <row r="101" spans="1:27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92"/>
      <c r="L101" s="92"/>
      <c r="M101" s="92"/>
      <c r="N101" s="92"/>
      <c r="O101" s="5"/>
      <c r="P101" s="5"/>
      <c r="Q101" s="5"/>
      <c r="R101" s="5"/>
      <c r="S101" s="5"/>
      <c r="T101" s="101" t="s">
        <v>136</v>
      </c>
      <c r="U101" s="102">
        <f>U99+U100</f>
        <v>10786702.140000001</v>
      </c>
      <c r="V101" s="68"/>
      <c r="W101" s="68"/>
      <c r="X101" s="68"/>
      <c r="Y101" s="5"/>
      <c r="Z101" s="5"/>
      <c r="AA101" s="5"/>
    </row>
    <row r="102" spans="1:27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92"/>
      <c r="L102" s="92" t="s">
        <v>141</v>
      </c>
      <c r="M102" s="92"/>
      <c r="N102" s="92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95" t="s">
        <v>137</v>
      </c>
      <c r="L103" s="95">
        <v>3</v>
      </c>
      <c r="M103" s="96">
        <f>L15+L16+L19+L23+L24+L27+L35+L37+L41+L47+L49+L50+L51+L54+L57+L58+L59+L60+L62+L64+L65+L66+L67+L68+L70+L72+L75+L76</f>
        <v>396000</v>
      </c>
      <c r="N103" s="97">
        <f>M103-M104</f>
        <v>0</v>
      </c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92" t="s">
        <v>142</v>
      </c>
      <c r="L104" s="92">
        <v>3</v>
      </c>
      <c r="M104" s="99">
        <f>M15+M16+M19+M23+M24+M27+M35+M37+M41+M47+M49+M50+M51+M54+M57+M58+M59+M60+M62+M64+M65+M66+M67+M68+M70+M72+M75+M76</f>
        <v>396000</v>
      </c>
      <c r="N104" s="92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25" customHeight="1">
      <c r="A105" s="5"/>
      <c r="B105" s="5"/>
      <c r="C105" s="5"/>
      <c r="D105" s="68"/>
      <c r="E105" s="5"/>
      <c r="F105" s="5"/>
      <c r="G105" s="5"/>
      <c r="H105" s="5"/>
      <c r="I105" s="5"/>
      <c r="J105" s="5"/>
      <c r="K105" s="92"/>
      <c r="L105" s="92"/>
      <c r="M105" s="92"/>
      <c r="N105" s="92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92"/>
      <c r="L106" s="92"/>
      <c r="M106" s="97">
        <f>M103-M104</f>
        <v>0</v>
      </c>
      <c r="N106" s="92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92"/>
      <c r="L107" s="92"/>
      <c r="M107" s="92"/>
      <c r="N107" s="92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92"/>
      <c r="L108" s="92" t="s">
        <v>135</v>
      </c>
      <c r="M108" s="92"/>
      <c r="N108" s="92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95" t="s">
        <v>143</v>
      </c>
      <c r="L109" s="95">
        <v>4</v>
      </c>
      <c r="M109" s="96">
        <f>L34+L36+L38+L40+L42+L43+L48+L52+L53+L55+L61+L63+L69+L71+L73+L74</f>
        <v>1148820.79</v>
      </c>
      <c r="N109" s="97">
        <f>M109-M110</f>
        <v>-9926406.2899999991</v>
      </c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92" t="s">
        <v>144</v>
      </c>
      <c r="L110" s="92">
        <v>4</v>
      </c>
      <c r="M110" s="99">
        <f>M34+M36+M38+M40+M42+M43+M48+M52+M53+M55+M61+M63+M69+M71+M73+M74</f>
        <v>11075227.08</v>
      </c>
      <c r="N110" s="92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92"/>
      <c r="L111" s="92"/>
      <c r="M111" s="92"/>
      <c r="N111" s="97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68">
        <f>M109-M110</f>
        <v>-9926406.2899999991</v>
      </c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68">
        <f>N97+N103+N109</f>
        <v>-9926406.2899999991</v>
      </c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ht="1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ht="14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:27" ht="14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:27" ht="14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1:27" ht="14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  <row r="1001" spans="1:27" ht="14.2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</row>
    <row r="1002" spans="1:27" ht="14.25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</row>
    <row r="1003" spans="1:27" ht="14.25" customHeight="1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</row>
    <row r="1004" spans="1:27" ht="14.25" customHeight="1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</row>
    <row r="1005" spans="1:27" ht="14.25" customHeight="1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</row>
  </sheetData>
  <mergeCells count="31">
    <mergeCell ref="A1:F1"/>
    <mergeCell ref="A2:F2"/>
    <mergeCell ref="A3:F3"/>
    <mergeCell ref="A4:F4"/>
    <mergeCell ref="A6:F6"/>
    <mergeCell ref="A7:F7"/>
    <mergeCell ref="A10:X10"/>
    <mergeCell ref="K12:K13"/>
    <mergeCell ref="L12:M12"/>
    <mergeCell ref="N12:N13"/>
    <mergeCell ref="O12:O13"/>
    <mergeCell ref="P12:Q12"/>
    <mergeCell ref="R12:R13"/>
    <mergeCell ref="S12:X12"/>
    <mergeCell ref="A12:J12"/>
    <mergeCell ref="A13:B13"/>
    <mergeCell ref="C13:C14"/>
    <mergeCell ref="D13:D14"/>
    <mergeCell ref="E13:F13"/>
    <mergeCell ref="G13:G14"/>
    <mergeCell ref="H13:I13"/>
    <mergeCell ref="F95:I95"/>
    <mergeCell ref="Q94:R94"/>
    <mergeCell ref="T94:U94"/>
    <mergeCell ref="J13:J14"/>
    <mergeCell ref="A31:J31"/>
    <mergeCell ref="A77:J77"/>
    <mergeCell ref="A78:J78"/>
    <mergeCell ref="A81:M81"/>
    <mergeCell ref="A83:H85"/>
    <mergeCell ref="K94:N94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1000"/>
  <sheetViews>
    <sheetView workbookViewId="0"/>
  </sheetViews>
  <sheetFormatPr defaultColWidth="12.625" defaultRowHeight="15" customHeight="1"/>
  <cols>
    <col min="1" max="1" width="9.125" customWidth="1"/>
    <col min="2" max="2" width="9.875" customWidth="1"/>
    <col min="3" max="3" width="9.125" customWidth="1"/>
    <col min="4" max="4" width="14" customWidth="1"/>
    <col min="5" max="5" width="9.125" customWidth="1"/>
    <col min="6" max="6" width="11.375" customWidth="1"/>
    <col min="7" max="7" width="14" customWidth="1"/>
    <col min="8" max="10" width="9.125" customWidth="1"/>
    <col min="11" max="11" width="13.25" customWidth="1"/>
    <col min="12" max="12" width="10.375" customWidth="1"/>
    <col min="13" max="13" width="14" customWidth="1"/>
    <col min="14" max="14" width="13.625" customWidth="1"/>
    <col min="15" max="16" width="9.125" customWidth="1"/>
    <col min="17" max="17" width="10.375" customWidth="1"/>
    <col min="18" max="18" width="12.75" customWidth="1"/>
    <col min="19" max="19" width="11.75" customWidth="1"/>
    <col min="20" max="20" width="12.375" customWidth="1"/>
    <col min="21" max="21" width="13.875" customWidth="1"/>
    <col min="22" max="22" width="9.125" customWidth="1"/>
    <col min="23" max="23" width="14.625" customWidth="1"/>
    <col min="24" max="24" width="9.125" customWidth="1"/>
    <col min="25" max="25" width="10.75" customWidth="1"/>
    <col min="26" max="27" width="9.125" customWidth="1"/>
  </cols>
  <sheetData>
    <row r="1" spans="1:27" ht="14.25" customHeight="1">
      <c r="A1" s="155" t="s">
        <v>0</v>
      </c>
      <c r="B1" s="140"/>
      <c r="C1" s="135"/>
      <c r="D1" s="1"/>
      <c r="E1" s="1"/>
      <c r="F1" s="1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1"/>
      <c r="W1" s="13"/>
      <c r="X1" s="1"/>
      <c r="Y1" s="5"/>
      <c r="Z1" s="5"/>
      <c r="AA1" s="5"/>
    </row>
    <row r="2" spans="1:27" ht="14.25" customHeight="1">
      <c r="A2" s="159" t="s">
        <v>1</v>
      </c>
      <c r="B2" s="145"/>
      <c r="C2" s="146"/>
      <c r="D2" s="1"/>
      <c r="E2" s="1"/>
      <c r="F2" s="1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1"/>
      <c r="W2" s="13"/>
      <c r="X2" s="1"/>
      <c r="Y2" s="5"/>
      <c r="Z2" s="5"/>
      <c r="AA2" s="5"/>
    </row>
    <row r="3" spans="1:27" ht="14.25" customHeight="1">
      <c r="A3" s="159" t="s">
        <v>2</v>
      </c>
      <c r="B3" s="145"/>
      <c r="C3" s="145"/>
      <c r="D3" s="145"/>
      <c r="E3" s="145"/>
      <c r="F3" s="6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1"/>
      <c r="W3" s="13"/>
      <c r="X3" s="1"/>
      <c r="Y3" s="5"/>
      <c r="Z3" s="5"/>
      <c r="AA3" s="5"/>
    </row>
    <row r="4" spans="1:27" ht="14.25" customHeight="1">
      <c r="A4" s="155" t="s">
        <v>3</v>
      </c>
      <c r="B4" s="140"/>
      <c r="C4" s="140"/>
      <c r="D4" s="140"/>
      <c r="E4" s="140"/>
      <c r="F4" s="7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1"/>
      <c r="W4" s="13"/>
      <c r="X4" s="1"/>
      <c r="Y4" s="5"/>
      <c r="Z4" s="5"/>
      <c r="AA4" s="5"/>
    </row>
    <row r="5" spans="1:27" ht="14.25" customHeight="1">
      <c r="A5" s="8" t="s">
        <v>4</v>
      </c>
      <c r="B5" s="8"/>
      <c r="C5" s="8"/>
      <c r="D5" s="8"/>
      <c r="E5" s="8"/>
      <c r="F5" s="8"/>
      <c r="G5" s="9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1"/>
      <c r="W5" s="13"/>
      <c r="X5" s="1"/>
      <c r="Y5" s="5"/>
      <c r="Z5" s="5"/>
      <c r="AA5" s="5"/>
    </row>
    <row r="6" spans="1:27" ht="14.25" customHeight="1">
      <c r="A6" s="155" t="s">
        <v>155</v>
      </c>
      <c r="B6" s="140"/>
      <c r="C6" s="140"/>
      <c r="D6" s="140"/>
      <c r="E6" s="140"/>
      <c r="F6" s="7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1"/>
      <c r="W6" s="13"/>
      <c r="X6" s="1"/>
      <c r="Y6" s="5"/>
      <c r="Z6" s="5"/>
      <c r="AA6" s="5"/>
    </row>
    <row r="7" spans="1:27" ht="14.25" customHeight="1">
      <c r="A7" s="155" t="s">
        <v>156</v>
      </c>
      <c r="B7" s="140"/>
      <c r="C7" s="140"/>
      <c r="D7" s="140"/>
      <c r="E7" s="140"/>
      <c r="F7" s="7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1"/>
      <c r="W7" s="13"/>
      <c r="X7" s="1"/>
      <c r="Y7" s="5"/>
      <c r="Z7" s="5"/>
      <c r="AA7" s="5"/>
    </row>
    <row r="8" spans="1:27" ht="14.25" customHeight="1">
      <c r="A8" s="5"/>
      <c r="B8" s="5"/>
      <c r="C8" s="5"/>
      <c r="D8" s="10"/>
      <c r="E8" s="1"/>
      <c r="F8" s="1"/>
      <c r="G8" s="1"/>
      <c r="H8" s="2"/>
      <c r="I8" s="2"/>
      <c r="J8" s="3"/>
      <c r="K8" s="1"/>
      <c r="L8" s="1"/>
      <c r="M8" s="1"/>
      <c r="N8" s="1"/>
      <c r="O8" s="1"/>
      <c r="P8" s="1"/>
      <c r="Q8" s="1"/>
      <c r="R8" s="1"/>
      <c r="S8" s="1"/>
      <c r="T8" s="1"/>
      <c r="U8" s="4"/>
      <c r="V8" s="1"/>
      <c r="W8" s="13"/>
      <c r="X8" s="1"/>
      <c r="Y8" s="5"/>
      <c r="Z8" s="5"/>
      <c r="AA8" s="5"/>
    </row>
    <row r="9" spans="1:27" ht="14.25" customHeight="1">
      <c r="A9" s="5"/>
      <c r="B9" s="5"/>
      <c r="C9" s="5"/>
      <c r="D9" s="11"/>
      <c r="E9" s="1"/>
      <c r="F9" s="1"/>
      <c r="G9" s="1"/>
      <c r="H9" s="2"/>
      <c r="I9" s="2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4"/>
      <c r="V9" s="1"/>
      <c r="W9" s="13"/>
      <c r="X9" s="1"/>
      <c r="Y9" s="5"/>
      <c r="Z9" s="5"/>
      <c r="AA9" s="5"/>
    </row>
    <row r="10" spans="1:27" ht="14.25" customHeight="1">
      <c r="A10" s="156" t="s">
        <v>7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5"/>
      <c r="Z10" s="5"/>
      <c r="AA10" s="5"/>
    </row>
    <row r="11" spans="1:27" ht="14.25" customHeight="1">
      <c r="A11" s="1"/>
      <c r="B11" s="1"/>
      <c r="C11" s="1"/>
      <c r="D11" s="1"/>
      <c r="E11" s="1"/>
      <c r="F11" s="1"/>
      <c r="G11" s="1"/>
      <c r="H11" s="2"/>
      <c r="I11" s="2"/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4"/>
      <c r="V11" s="1"/>
      <c r="W11" s="13"/>
      <c r="X11" s="1"/>
      <c r="Y11" s="5"/>
      <c r="Z11" s="5"/>
      <c r="AA11" s="5"/>
    </row>
    <row r="12" spans="1:27" ht="14.25" customHeight="1">
      <c r="A12" s="158" t="s">
        <v>8</v>
      </c>
      <c r="B12" s="140"/>
      <c r="C12" s="140"/>
      <c r="D12" s="140"/>
      <c r="E12" s="140"/>
      <c r="F12" s="140"/>
      <c r="G12" s="140"/>
      <c r="H12" s="140"/>
      <c r="I12" s="140"/>
      <c r="J12" s="135"/>
      <c r="K12" s="157" t="s">
        <v>9</v>
      </c>
      <c r="L12" s="158" t="s">
        <v>10</v>
      </c>
      <c r="M12" s="135"/>
      <c r="N12" s="157" t="s">
        <v>11</v>
      </c>
      <c r="O12" s="157" t="s">
        <v>12</v>
      </c>
      <c r="P12" s="158" t="s">
        <v>13</v>
      </c>
      <c r="Q12" s="135"/>
      <c r="R12" s="157" t="s">
        <v>14</v>
      </c>
      <c r="S12" s="158" t="s">
        <v>15</v>
      </c>
      <c r="T12" s="140"/>
      <c r="U12" s="140"/>
      <c r="V12" s="140"/>
      <c r="W12" s="140"/>
      <c r="X12" s="135"/>
      <c r="Y12" s="5"/>
      <c r="Z12" s="5"/>
      <c r="AA12" s="5"/>
    </row>
    <row r="13" spans="1:27" ht="14.25" customHeight="1">
      <c r="A13" s="158" t="s">
        <v>16</v>
      </c>
      <c r="B13" s="135"/>
      <c r="C13" s="157" t="s">
        <v>17</v>
      </c>
      <c r="D13" s="157" t="s">
        <v>18</v>
      </c>
      <c r="E13" s="158" t="s">
        <v>19</v>
      </c>
      <c r="F13" s="135"/>
      <c r="G13" s="157" t="s">
        <v>20</v>
      </c>
      <c r="H13" s="158" t="s">
        <v>21</v>
      </c>
      <c r="I13" s="135"/>
      <c r="J13" s="137" t="s">
        <v>22</v>
      </c>
      <c r="K13" s="138"/>
      <c r="L13" s="14" t="s">
        <v>23</v>
      </c>
      <c r="M13" s="14" t="s">
        <v>24</v>
      </c>
      <c r="N13" s="138"/>
      <c r="O13" s="138"/>
      <c r="P13" s="15" t="s">
        <v>25</v>
      </c>
      <c r="Q13" s="15" t="s">
        <v>26</v>
      </c>
      <c r="R13" s="138"/>
      <c r="S13" s="16" t="s">
        <v>27</v>
      </c>
      <c r="T13" s="17" t="s">
        <v>28</v>
      </c>
      <c r="U13" s="16" t="s">
        <v>29</v>
      </c>
      <c r="V13" s="18" t="s">
        <v>28</v>
      </c>
      <c r="W13" s="19" t="s">
        <v>30</v>
      </c>
      <c r="X13" s="18" t="s">
        <v>28</v>
      </c>
      <c r="Y13" s="5"/>
      <c r="Z13" s="5"/>
      <c r="AA13" s="5"/>
    </row>
    <row r="14" spans="1:27" ht="31.5" customHeight="1">
      <c r="A14" s="16" t="s">
        <v>31</v>
      </c>
      <c r="B14" s="16" t="s">
        <v>19</v>
      </c>
      <c r="C14" s="138"/>
      <c r="D14" s="138"/>
      <c r="E14" s="15" t="s">
        <v>32</v>
      </c>
      <c r="F14" s="15" t="s">
        <v>33</v>
      </c>
      <c r="G14" s="138"/>
      <c r="H14" s="15" t="s">
        <v>31</v>
      </c>
      <c r="I14" s="15" t="s">
        <v>19</v>
      </c>
      <c r="J14" s="138"/>
      <c r="K14" s="16" t="s">
        <v>34</v>
      </c>
      <c r="L14" s="15" t="s">
        <v>35</v>
      </c>
      <c r="M14" s="15" t="s">
        <v>36</v>
      </c>
      <c r="N14" s="15" t="s">
        <v>37</v>
      </c>
      <c r="O14" s="15" t="s">
        <v>38</v>
      </c>
      <c r="P14" s="15" t="s">
        <v>39</v>
      </c>
      <c r="Q14" s="15" t="s">
        <v>40</v>
      </c>
      <c r="R14" s="16" t="s">
        <v>41</v>
      </c>
      <c r="S14" s="20" t="s">
        <v>42</v>
      </c>
      <c r="T14" s="21" t="s">
        <v>43</v>
      </c>
      <c r="U14" s="20" t="s">
        <v>44</v>
      </c>
      <c r="V14" s="21" t="s">
        <v>45</v>
      </c>
      <c r="W14" s="19" t="s">
        <v>46</v>
      </c>
      <c r="X14" s="21" t="s">
        <v>47</v>
      </c>
      <c r="Y14" s="5"/>
      <c r="Z14" s="5"/>
      <c r="AA14" s="5"/>
    </row>
    <row r="15" spans="1:27" ht="63" customHeight="1">
      <c r="A15" s="22" t="s">
        <v>48</v>
      </c>
      <c r="B15" s="23" t="s">
        <v>49</v>
      </c>
      <c r="C15" s="23" t="s">
        <v>50</v>
      </c>
      <c r="D15" s="23" t="s">
        <v>51</v>
      </c>
      <c r="E15" s="23" t="s">
        <v>52</v>
      </c>
      <c r="F15" s="23" t="s">
        <v>53</v>
      </c>
      <c r="G15" s="23" t="s">
        <v>54</v>
      </c>
      <c r="H15" s="23" t="s">
        <v>55</v>
      </c>
      <c r="I15" s="23" t="s">
        <v>56</v>
      </c>
      <c r="J15" s="24">
        <v>3</v>
      </c>
      <c r="K15" s="25">
        <v>500000</v>
      </c>
      <c r="L15" s="25">
        <v>0</v>
      </c>
      <c r="M15" s="25">
        <v>0</v>
      </c>
      <c r="N15" s="26">
        <f t="shared" ref="N15:N29" si="0">K15+L15-M15</f>
        <v>500000</v>
      </c>
      <c r="O15" s="27"/>
      <c r="P15" s="27"/>
      <c r="Q15" s="27"/>
      <c r="R15" s="26">
        <f t="shared" ref="R15:R29" si="1">N15-O15+P15+Q15</f>
        <v>500000</v>
      </c>
      <c r="S15" s="25">
        <v>0</v>
      </c>
      <c r="T15" s="28">
        <f t="shared" ref="T15:T30" si="2">IF(R15&gt;0,S15/R15,0)</f>
        <v>0</v>
      </c>
      <c r="U15" s="29">
        <v>0</v>
      </c>
      <c r="V15" s="28">
        <f t="shared" ref="V15:V30" si="3">IF(R15&gt;0,U15/R15,0)</f>
        <v>0</v>
      </c>
      <c r="W15" s="25">
        <v>0</v>
      </c>
      <c r="X15" s="28">
        <f t="shared" ref="X15:X30" si="4">IF(R15&gt;0,W15/R15,0)</f>
        <v>0</v>
      </c>
      <c r="Y15" s="5"/>
      <c r="Z15" s="5"/>
      <c r="AA15" s="5"/>
    </row>
    <row r="16" spans="1:27" ht="63" customHeight="1">
      <c r="A16" s="22" t="s">
        <v>48</v>
      </c>
      <c r="B16" s="23" t="s">
        <v>49</v>
      </c>
      <c r="C16" s="23" t="s">
        <v>50</v>
      </c>
      <c r="D16" s="23" t="s">
        <v>57</v>
      </c>
      <c r="E16" s="23" t="s">
        <v>52</v>
      </c>
      <c r="F16" s="23" t="s">
        <v>58</v>
      </c>
      <c r="G16" s="23" t="s">
        <v>54</v>
      </c>
      <c r="H16" s="23" t="s">
        <v>55</v>
      </c>
      <c r="I16" s="23" t="s">
        <v>56</v>
      </c>
      <c r="J16" s="24">
        <v>3</v>
      </c>
      <c r="K16" s="25">
        <v>68272700</v>
      </c>
      <c r="L16" s="25">
        <v>0</v>
      </c>
      <c r="M16" s="25">
        <v>0</v>
      </c>
      <c r="N16" s="26">
        <f t="shared" si="0"/>
        <v>68272700</v>
      </c>
      <c r="O16" s="27"/>
      <c r="P16" s="27"/>
      <c r="Q16" s="27"/>
      <c r="R16" s="26">
        <f t="shared" si="1"/>
        <v>68272700</v>
      </c>
      <c r="S16" s="25">
        <v>10956064.789999999</v>
      </c>
      <c r="T16" s="28">
        <f t="shared" si="2"/>
        <v>0.16047504771306831</v>
      </c>
      <c r="U16" s="29">
        <v>10956064.789999999</v>
      </c>
      <c r="V16" s="28">
        <f t="shared" si="3"/>
        <v>0.16047504771306831</v>
      </c>
      <c r="W16" s="25">
        <v>10956064.789999999</v>
      </c>
      <c r="X16" s="28">
        <f t="shared" si="4"/>
        <v>0.16047504771306831</v>
      </c>
      <c r="Y16" s="30"/>
      <c r="Z16" s="5"/>
      <c r="AA16" s="5"/>
    </row>
    <row r="17" spans="1:27" ht="63" customHeight="1">
      <c r="A17" s="22" t="s">
        <v>48</v>
      </c>
      <c r="B17" s="23" t="s">
        <v>49</v>
      </c>
      <c r="C17" s="23" t="s">
        <v>50</v>
      </c>
      <c r="D17" s="23" t="s">
        <v>59</v>
      </c>
      <c r="E17" s="23" t="s">
        <v>52</v>
      </c>
      <c r="F17" s="23" t="s">
        <v>60</v>
      </c>
      <c r="G17" s="23" t="s">
        <v>54</v>
      </c>
      <c r="H17" s="23" t="s">
        <v>55</v>
      </c>
      <c r="I17" s="23" t="s">
        <v>56</v>
      </c>
      <c r="J17" s="31">
        <v>1</v>
      </c>
      <c r="K17" s="25">
        <v>414524310</v>
      </c>
      <c r="L17" s="25">
        <v>3598886.1</v>
      </c>
      <c r="M17" s="25">
        <v>3598886.1</v>
      </c>
      <c r="N17" s="26">
        <f t="shared" si="0"/>
        <v>414524310</v>
      </c>
      <c r="O17" s="27"/>
      <c r="P17" s="27"/>
      <c r="Q17" s="27"/>
      <c r="R17" s="26">
        <f t="shared" si="1"/>
        <v>414524310</v>
      </c>
      <c r="S17" s="25">
        <v>59465476.479999997</v>
      </c>
      <c r="T17" s="28">
        <f t="shared" si="2"/>
        <v>0.1434547384687764</v>
      </c>
      <c r="U17" s="32">
        <v>59465476.479999997</v>
      </c>
      <c r="V17" s="28">
        <f t="shared" si="3"/>
        <v>0.1434547384687764</v>
      </c>
      <c r="W17" s="25">
        <v>59465469.880000003</v>
      </c>
      <c r="X17" s="28">
        <f t="shared" si="4"/>
        <v>0.14345472254691166</v>
      </c>
      <c r="Y17" s="5"/>
      <c r="Z17" s="5"/>
      <c r="AA17" s="5"/>
    </row>
    <row r="18" spans="1:27" ht="63" customHeight="1">
      <c r="A18" s="22" t="s">
        <v>48</v>
      </c>
      <c r="B18" s="23" t="s">
        <v>49</v>
      </c>
      <c r="C18" s="33" t="s">
        <v>50</v>
      </c>
      <c r="D18" s="33" t="s">
        <v>61</v>
      </c>
      <c r="E18" s="23" t="s">
        <v>52</v>
      </c>
      <c r="F18" s="33" t="s">
        <v>62</v>
      </c>
      <c r="G18" s="33" t="s">
        <v>54</v>
      </c>
      <c r="H18" s="23" t="s">
        <v>55</v>
      </c>
      <c r="I18" s="33" t="s">
        <v>63</v>
      </c>
      <c r="J18" s="31">
        <v>1</v>
      </c>
      <c r="K18" s="34">
        <v>500000</v>
      </c>
      <c r="L18" s="35">
        <v>0</v>
      </c>
      <c r="M18" s="35">
        <v>0</v>
      </c>
      <c r="N18" s="36">
        <f t="shared" si="0"/>
        <v>500000</v>
      </c>
      <c r="O18" s="36"/>
      <c r="P18" s="36"/>
      <c r="Q18" s="36"/>
      <c r="R18" s="36">
        <f t="shared" si="1"/>
        <v>500000</v>
      </c>
      <c r="S18" s="37">
        <v>0</v>
      </c>
      <c r="T18" s="38">
        <f t="shared" si="2"/>
        <v>0</v>
      </c>
      <c r="U18" s="32">
        <v>0</v>
      </c>
      <c r="V18" s="38">
        <f t="shared" si="3"/>
        <v>0</v>
      </c>
      <c r="W18" s="35">
        <v>0</v>
      </c>
      <c r="X18" s="38">
        <f t="shared" si="4"/>
        <v>0</v>
      </c>
      <c r="Y18" s="5"/>
      <c r="Z18" s="5"/>
      <c r="AA18" s="5"/>
    </row>
    <row r="19" spans="1:27" ht="63" customHeight="1">
      <c r="A19" s="22" t="s">
        <v>48</v>
      </c>
      <c r="B19" s="23" t="s">
        <v>49</v>
      </c>
      <c r="C19" s="23" t="s">
        <v>50</v>
      </c>
      <c r="D19" s="23" t="s">
        <v>64</v>
      </c>
      <c r="E19" s="23" t="s">
        <v>65</v>
      </c>
      <c r="F19" s="23" t="s">
        <v>66</v>
      </c>
      <c r="G19" s="23" t="s">
        <v>54</v>
      </c>
      <c r="H19" s="23" t="s">
        <v>55</v>
      </c>
      <c r="I19" s="23" t="s">
        <v>56</v>
      </c>
      <c r="J19" s="24">
        <v>3</v>
      </c>
      <c r="K19" s="25">
        <v>18400000</v>
      </c>
      <c r="L19" s="25">
        <v>0</v>
      </c>
      <c r="M19" s="25">
        <v>0</v>
      </c>
      <c r="N19" s="26">
        <f t="shared" si="0"/>
        <v>18400000</v>
      </c>
      <c r="O19" s="27"/>
      <c r="P19" s="27"/>
      <c r="Q19" s="27"/>
      <c r="R19" s="26">
        <f t="shared" si="1"/>
        <v>18400000</v>
      </c>
      <c r="S19" s="25">
        <v>3078958.75</v>
      </c>
      <c r="T19" s="28">
        <f t="shared" si="2"/>
        <v>0.16733471467391303</v>
      </c>
      <c r="U19" s="29">
        <v>3078958.75</v>
      </c>
      <c r="V19" s="28">
        <f t="shared" si="3"/>
        <v>0.16733471467391303</v>
      </c>
      <c r="W19" s="25">
        <v>3078958.75</v>
      </c>
      <c r="X19" s="28">
        <f t="shared" si="4"/>
        <v>0.16733471467391303</v>
      </c>
      <c r="Y19" s="5"/>
      <c r="Z19" s="5"/>
      <c r="AA19" s="5"/>
    </row>
    <row r="20" spans="1:27" ht="63" customHeight="1">
      <c r="A20" s="22" t="s">
        <v>48</v>
      </c>
      <c r="B20" s="23" t="s">
        <v>49</v>
      </c>
      <c r="C20" s="23" t="s">
        <v>50</v>
      </c>
      <c r="D20" s="23" t="s">
        <v>67</v>
      </c>
      <c r="E20" s="23" t="s">
        <v>65</v>
      </c>
      <c r="F20" s="23" t="s">
        <v>68</v>
      </c>
      <c r="G20" s="23" t="s">
        <v>54</v>
      </c>
      <c r="H20" s="23" t="s">
        <v>55</v>
      </c>
      <c r="I20" s="23" t="s">
        <v>56</v>
      </c>
      <c r="J20" s="31">
        <v>1</v>
      </c>
      <c r="K20" s="25">
        <v>105706108</v>
      </c>
      <c r="L20" s="25">
        <v>1757068.65</v>
      </c>
      <c r="M20" s="25">
        <v>1757068.65</v>
      </c>
      <c r="N20" s="26">
        <f t="shared" si="0"/>
        <v>105706108</v>
      </c>
      <c r="O20" s="27"/>
      <c r="P20" s="27"/>
      <c r="Q20" s="27"/>
      <c r="R20" s="26">
        <f t="shared" si="1"/>
        <v>105706108</v>
      </c>
      <c r="S20" s="25">
        <v>14327921.15</v>
      </c>
      <c r="T20" s="28">
        <f t="shared" si="2"/>
        <v>0.13554487456864839</v>
      </c>
      <c r="U20" s="32">
        <v>14307921.15</v>
      </c>
      <c r="V20" s="28">
        <f t="shared" si="3"/>
        <v>0.13535567074326491</v>
      </c>
      <c r="W20" s="25">
        <v>14253837.529999999</v>
      </c>
      <c r="X20" s="28">
        <f t="shared" si="4"/>
        <v>0.13484402935353557</v>
      </c>
      <c r="Y20" s="5"/>
      <c r="Z20" s="5"/>
      <c r="AA20" s="5"/>
    </row>
    <row r="21" spans="1:27" ht="63" customHeight="1">
      <c r="A21" s="22" t="s">
        <v>48</v>
      </c>
      <c r="B21" s="23" t="s">
        <v>49</v>
      </c>
      <c r="C21" s="23" t="s">
        <v>50</v>
      </c>
      <c r="D21" s="23" t="s">
        <v>69</v>
      </c>
      <c r="E21" s="23" t="s">
        <v>65</v>
      </c>
      <c r="F21" s="23" t="s">
        <v>70</v>
      </c>
      <c r="G21" s="23" t="s">
        <v>54</v>
      </c>
      <c r="H21" s="23" t="s">
        <v>55</v>
      </c>
      <c r="I21" s="23" t="s">
        <v>56</v>
      </c>
      <c r="J21" s="31">
        <v>1</v>
      </c>
      <c r="K21" s="25">
        <v>116644198</v>
      </c>
      <c r="L21" s="25">
        <v>18022.02</v>
      </c>
      <c r="M21" s="25">
        <v>18022.02</v>
      </c>
      <c r="N21" s="26">
        <f t="shared" si="0"/>
        <v>116644198</v>
      </c>
      <c r="O21" s="27"/>
      <c r="P21" s="27"/>
      <c r="Q21" s="27"/>
      <c r="R21" s="26">
        <f t="shared" si="1"/>
        <v>116644198</v>
      </c>
      <c r="S21" s="25">
        <v>16942537.41</v>
      </c>
      <c r="T21" s="28">
        <f t="shared" si="2"/>
        <v>0.1452497226651599</v>
      </c>
      <c r="U21" s="32">
        <v>16942537.41</v>
      </c>
      <c r="V21" s="28">
        <f t="shared" si="3"/>
        <v>0.1452497226651599</v>
      </c>
      <c r="W21" s="25">
        <v>16929833.559999999</v>
      </c>
      <c r="X21" s="28">
        <f t="shared" si="4"/>
        <v>0.14514081154726616</v>
      </c>
      <c r="Y21" s="5"/>
      <c r="Z21" s="5"/>
      <c r="AA21" s="5"/>
    </row>
    <row r="22" spans="1:27" ht="63" customHeight="1">
      <c r="A22" s="22" t="s">
        <v>48</v>
      </c>
      <c r="B22" s="23" t="s">
        <v>49</v>
      </c>
      <c r="C22" s="23" t="s">
        <v>50</v>
      </c>
      <c r="D22" s="23" t="s">
        <v>71</v>
      </c>
      <c r="E22" s="23" t="s">
        <v>65</v>
      </c>
      <c r="F22" s="23" t="s">
        <v>72</v>
      </c>
      <c r="G22" s="23" t="s">
        <v>54</v>
      </c>
      <c r="H22" s="23" t="s">
        <v>55</v>
      </c>
      <c r="I22" s="23" t="s">
        <v>56</v>
      </c>
      <c r="J22" s="24">
        <v>3</v>
      </c>
      <c r="K22" s="25">
        <v>19300000</v>
      </c>
      <c r="L22" s="25">
        <v>0</v>
      </c>
      <c r="M22" s="25">
        <v>0</v>
      </c>
      <c r="N22" s="26">
        <f t="shared" si="0"/>
        <v>19300000</v>
      </c>
      <c r="O22" s="27"/>
      <c r="P22" s="27"/>
      <c r="Q22" s="27"/>
      <c r="R22" s="26">
        <f t="shared" si="1"/>
        <v>19300000</v>
      </c>
      <c r="S22" s="25">
        <v>3350110.88</v>
      </c>
      <c r="T22" s="28">
        <f t="shared" si="2"/>
        <v>0.17358087461139896</v>
      </c>
      <c r="U22" s="29">
        <v>3350110.88</v>
      </c>
      <c r="V22" s="28">
        <f t="shared" si="3"/>
        <v>0.17358087461139896</v>
      </c>
      <c r="W22" s="25">
        <v>3350110.88</v>
      </c>
      <c r="X22" s="28">
        <f t="shared" si="4"/>
        <v>0.17358087461139896</v>
      </c>
      <c r="Y22" s="5"/>
      <c r="Z22" s="5"/>
      <c r="AA22" s="5"/>
    </row>
    <row r="23" spans="1:27" ht="63" customHeight="1">
      <c r="A23" s="22" t="s">
        <v>48</v>
      </c>
      <c r="B23" s="23" t="s">
        <v>49</v>
      </c>
      <c r="C23" s="23" t="s">
        <v>73</v>
      </c>
      <c r="D23" s="23" t="s">
        <v>74</v>
      </c>
      <c r="E23" s="23" t="s">
        <v>65</v>
      </c>
      <c r="F23" s="23" t="s">
        <v>75</v>
      </c>
      <c r="G23" s="23" t="s">
        <v>54</v>
      </c>
      <c r="H23" s="23" t="s">
        <v>55</v>
      </c>
      <c r="I23" s="23" t="s">
        <v>63</v>
      </c>
      <c r="J23" s="24">
        <v>3</v>
      </c>
      <c r="K23" s="25">
        <v>1500000</v>
      </c>
      <c r="L23" s="25">
        <v>0</v>
      </c>
      <c r="M23" s="25">
        <v>0</v>
      </c>
      <c r="N23" s="26">
        <f t="shared" si="0"/>
        <v>1500000</v>
      </c>
      <c r="O23" s="27"/>
      <c r="P23" s="27"/>
      <c r="Q23" s="27"/>
      <c r="R23" s="26">
        <f t="shared" si="1"/>
        <v>1500000</v>
      </c>
      <c r="S23" s="25">
        <v>317265.28999999998</v>
      </c>
      <c r="T23" s="28">
        <f t="shared" si="2"/>
        <v>0.21151019333333332</v>
      </c>
      <c r="U23" s="29">
        <v>158635.06</v>
      </c>
      <c r="V23" s="28">
        <f t="shared" si="3"/>
        <v>0.10575670666666666</v>
      </c>
      <c r="W23" s="25">
        <v>158635.06</v>
      </c>
      <c r="X23" s="28">
        <f t="shared" si="4"/>
        <v>0.10575670666666666</v>
      </c>
      <c r="Y23" s="5"/>
      <c r="Z23" s="5"/>
      <c r="AA23" s="5"/>
    </row>
    <row r="24" spans="1:27" ht="63" customHeight="1">
      <c r="A24" s="22" t="s">
        <v>48</v>
      </c>
      <c r="B24" s="23" t="s">
        <v>49</v>
      </c>
      <c r="C24" s="23" t="s">
        <v>76</v>
      </c>
      <c r="D24" s="23" t="s">
        <v>77</v>
      </c>
      <c r="E24" s="33" t="s">
        <v>65</v>
      </c>
      <c r="F24" s="23" t="s">
        <v>78</v>
      </c>
      <c r="G24" s="23" t="s">
        <v>54</v>
      </c>
      <c r="H24" s="23" t="s">
        <v>55</v>
      </c>
      <c r="I24" s="23" t="s">
        <v>56</v>
      </c>
      <c r="J24" s="31">
        <v>1</v>
      </c>
      <c r="K24" s="34">
        <v>400000</v>
      </c>
      <c r="L24" s="25">
        <v>0</v>
      </c>
      <c r="M24" s="25">
        <v>0</v>
      </c>
      <c r="N24" s="26">
        <f t="shared" si="0"/>
        <v>400000</v>
      </c>
      <c r="O24" s="26"/>
      <c r="P24" s="26"/>
      <c r="Q24" s="26"/>
      <c r="R24" s="26">
        <f t="shared" si="1"/>
        <v>400000</v>
      </c>
      <c r="S24" s="35">
        <v>5880</v>
      </c>
      <c r="T24" s="28">
        <f t="shared" si="2"/>
        <v>1.47E-2</v>
      </c>
      <c r="U24" s="32">
        <v>5880</v>
      </c>
      <c r="V24" s="28">
        <f t="shared" si="3"/>
        <v>1.47E-2</v>
      </c>
      <c r="W24" s="25">
        <v>5880</v>
      </c>
      <c r="X24" s="28">
        <f t="shared" si="4"/>
        <v>1.47E-2</v>
      </c>
      <c r="Y24" s="5"/>
      <c r="Z24" s="5"/>
      <c r="AA24" s="5"/>
    </row>
    <row r="25" spans="1:27" ht="63" customHeight="1">
      <c r="A25" s="22" t="s">
        <v>48</v>
      </c>
      <c r="B25" s="23" t="s">
        <v>49</v>
      </c>
      <c r="C25" s="23" t="s">
        <v>79</v>
      </c>
      <c r="D25" s="23" t="s">
        <v>80</v>
      </c>
      <c r="E25" s="23" t="s">
        <v>65</v>
      </c>
      <c r="F25" s="23" t="s">
        <v>81</v>
      </c>
      <c r="G25" s="23" t="s">
        <v>54</v>
      </c>
      <c r="H25" s="23" t="s">
        <v>55</v>
      </c>
      <c r="I25" s="23" t="s">
        <v>63</v>
      </c>
      <c r="J25" s="31">
        <v>1</v>
      </c>
      <c r="K25" s="25">
        <f>122077300-K26</f>
        <v>116550000</v>
      </c>
      <c r="L25" s="25">
        <v>15000000</v>
      </c>
      <c r="M25" s="25">
        <v>15000000</v>
      </c>
      <c r="N25" s="26">
        <f t="shared" si="0"/>
        <v>116550000</v>
      </c>
      <c r="O25" s="26"/>
      <c r="P25" s="26"/>
      <c r="Q25" s="26"/>
      <c r="R25" s="26">
        <f t="shared" si="1"/>
        <v>116550000</v>
      </c>
      <c r="S25" s="25">
        <f>9937242.75-S26</f>
        <v>9027886.8800000008</v>
      </c>
      <c r="T25" s="28">
        <f t="shared" si="2"/>
        <v>7.74593468897469E-2</v>
      </c>
      <c r="U25" s="32">
        <f>9937242.75-U26</f>
        <v>9027886.8800000008</v>
      </c>
      <c r="V25" s="28">
        <f t="shared" si="3"/>
        <v>7.74593468897469E-2</v>
      </c>
      <c r="W25" s="25">
        <f>9937242.75-W26</f>
        <v>9027886.8800000008</v>
      </c>
      <c r="X25" s="28">
        <f t="shared" si="4"/>
        <v>7.74593468897469E-2</v>
      </c>
      <c r="Y25" s="5"/>
      <c r="Z25" s="5"/>
      <c r="AA25" s="5"/>
    </row>
    <row r="26" spans="1:27" ht="63" customHeight="1">
      <c r="A26" s="22" t="s">
        <v>48</v>
      </c>
      <c r="B26" s="23" t="s">
        <v>49</v>
      </c>
      <c r="C26" s="23" t="s">
        <v>79</v>
      </c>
      <c r="D26" s="23" t="s">
        <v>80</v>
      </c>
      <c r="E26" s="23" t="s">
        <v>65</v>
      </c>
      <c r="F26" s="23" t="s">
        <v>81</v>
      </c>
      <c r="G26" s="23" t="s">
        <v>54</v>
      </c>
      <c r="H26" s="23" t="s">
        <v>55</v>
      </c>
      <c r="I26" s="23" t="s">
        <v>63</v>
      </c>
      <c r="J26" s="24">
        <v>3</v>
      </c>
      <c r="K26" s="25">
        <v>5527300</v>
      </c>
      <c r="L26" s="25">
        <v>0</v>
      </c>
      <c r="M26" s="25">
        <v>0</v>
      </c>
      <c r="N26" s="26">
        <f t="shared" si="0"/>
        <v>5527300</v>
      </c>
      <c r="O26" s="26"/>
      <c r="P26" s="26"/>
      <c r="Q26" s="26"/>
      <c r="R26" s="26">
        <f t="shared" si="1"/>
        <v>5527300</v>
      </c>
      <c r="S26" s="25">
        <v>909355.87</v>
      </c>
      <c r="T26" s="28">
        <f t="shared" si="2"/>
        <v>0.16452080943679553</v>
      </c>
      <c r="U26" s="29">
        <v>909355.87</v>
      </c>
      <c r="V26" s="28">
        <f t="shared" si="3"/>
        <v>0.16452080943679553</v>
      </c>
      <c r="W26" s="25">
        <v>909355.87</v>
      </c>
      <c r="X26" s="28">
        <f t="shared" si="4"/>
        <v>0.16452080943679553</v>
      </c>
      <c r="Y26" s="5"/>
      <c r="Z26" s="5"/>
      <c r="AA26" s="5"/>
    </row>
    <row r="27" spans="1:27" ht="63" hidden="1" customHeight="1">
      <c r="A27" s="22" t="s">
        <v>48</v>
      </c>
      <c r="B27" s="23" t="s">
        <v>49</v>
      </c>
      <c r="C27" s="23" t="s">
        <v>79</v>
      </c>
      <c r="D27" s="23" t="s">
        <v>80</v>
      </c>
      <c r="E27" s="23" t="s">
        <v>65</v>
      </c>
      <c r="F27" s="23" t="s">
        <v>81</v>
      </c>
      <c r="G27" s="23" t="s">
        <v>54</v>
      </c>
      <c r="H27" s="23" t="s">
        <v>82</v>
      </c>
      <c r="I27" s="23" t="s">
        <v>63</v>
      </c>
      <c r="J27" s="31">
        <v>1</v>
      </c>
      <c r="K27" s="25"/>
      <c r="L27" s="25"/>
      <c r="M27" s="25"/>
      <c r="N27" s="26">
        <f t="shared" si="0"/>
        <v>0</v>
      </c>
      <c r="O27" s="26"/>
      <c r="P27" s="26"/>
      <c r="Q27" s="26"/>
      <c r="R27" s="26">
        <f t="shared" si="1"/>
        <v>0</v>
      </c>
      <c r="S27" s="25"/>
      <c r="T27" s="28">
        <f t="shared" si="2"/>
        <v>0</v>
      </c>
      <c r="U27" s="32"/>
      <c r="V27" s="28">
        <f t="shared" si="3"/>
        <v>0</v>
      </c>
      <c r="W27" s="25"/>
      <c r="X27" s="28">
        <f t="shared" si="4"/>
        <v>0</v>
      </c>
      <c r="Y27" s="5"/>
      <c r="Z27" s="5"/>
      <c r="AA27" s="5"/>
    </row>
    <row r="28" spans="1:27" ht="63" customHeight="1">
      <c r="A28" s="22" t="s">
        <v>48</v>
      </c>
      <c r="B28" s="23" t="s">
        <v>49</v>
      </c>
      <c r="C28" s="23" t="s">
        <v>83</v>
      </c>
      <c r="D28" s="23" t="s">
        <v>84</v>
      </c>
      <c r="E28" s="23" t="s">
        <v>65</v>
      </c>
      <c r="F28" s="23" t="s">
        <v>85</v>
      </c>
      <c r="G28" s="23" t="s">
        <v>54</v>
      </c>
      <c r="H28" s="23" t="s">
        <v>55</v>
      </c>
      <c r="I28" s="23" t="s">
        <v>63</v>
      </c>
      <c r="J28" s="31">
        <v>1</v>
      </c>
      <c r="K28" s="25">
        <v>1444384</v>
      </c>
      <c r="L28" s="25">
        <v>0</v>
      </c>
      <c r="M28" s="25">
        <v>0</v>
      </c>
      <c r="N28" s="26">
        <f t="shared" si="0"/>
        <v>1444384</v>
      </c>
      <c r="O28" s="26"/>
      <c r="P28" s="26"/>
      <c r="Q28" s="26"/>
      <c r="R28" s="26">
        <f t="shared" si="1"/>
        <v>1444384</v>
      </c>
      <c r="S28" s="25">
        <v>2181.91</v>
      </c>
      <c r="T28" s="28">
        <f t="shared" si="2"/>
        <v>1.5106162904047675E-3</v>
      </c>
      <c r="U28" s="32">
        <v>2181.91</v>
      </c>
      <c r="V28" s="28">
        <f t="shared" si="3"/>
        <v>1.5106162904047675E-3</v>
      </c>
      <c r="W28" s="25">
        <v>2181.91</v>
      </c>
      <c r="X28" s="28">
        <f t="shared" si="4"/>
        <v>1.5106162904047675E-3</v>
      </c>
      <c r="Y28" s="5"/>
      <c r="Z28" s="5"/>
      <c r="AA28" s="5"/>
    </row>
    <row r="29" spans="1:27" ht="63" hidden="1" customHeight="1">
      <c r="A29" s="22" t="s">
        <v>48</v>
      </c>
      <c r="B29" s="23" t="s">
        <v>49</v>
      </c>
      <c r="C29" s="23" t="s">
        <v>83</v>
      </c>
      <c r="D29" s="23" t="s">
        <v>84</v>
      </c>
      <c r="E29" s="23" t="s">
        <v>65</v>
      </c>
      <c r="F29" s="23" t="s">
        <v>85</v>
      </c>
      <c r="G29" s="23" t="s">
        <v>54</v>
      </c>
      <c r="H29" s="23" t="s">
        <v>82</v>
      </c>
      <c r="I29" s="23" t="s">
        <v>63</v>
      </c>
      <c r="J29" s="31">
        <v>1</v>
      </c>
      <c r="K29" s="25"/>
      <c r="L29" s="25"/>
      <c r="M29" s="25"/>
      <c r="N29" s="26">
        <f t="shared" si="0"/>
        <v>0</v>
      </c>
      <c r="O29" s="26"/>
      <c r="P29" s="26"/>
      <c r="Q29" s="26"/>
      <c r="R29" s="26">
        <f t="shared" si="1"/>
        <v>0</v>
      </c>
      <c r="S29" s="25"/>
      <c r="T29" s="28">
        <f t="shared" si="2"/>
        <v>0</v>
      </c>
      <c r="U29" s="32"/>
      <c r="V29" s="28">
        <f t="shared" si="3"/>
        <v>0</v>
      </c>
      <c r="W29" s="25"/>
      <c r="X29" s="28">
        <f t="shared" si="4"/>
        <v>0</v>
      </c>
      <c r="Y29" s="5"/>
      <c r="Z29" s="5"/>
      <c r="AA29" s="5"/>
    </row>
    <row r="30" spans="1:27" ht="16.5" customHeight="1">
      <c r="A30" s="139" t="s">
        <v>86</v>
      </c>
      <c r="B30" s="140"/>
      <c r="C30" s="140"/>
      <c r="D30" s="140"/>
      <c r="E30" s="140"/>
      <c r="F30" s="140"/>
      <c r="G30" s="140"/>
      <c r="H30" s="140"/>
      <c r="I30" s="140"/>
      <c r="J30" s="135"/>
      <c r="K30" s="39">
        <f t="shared" ref="K30:N30" si="5">SUM(K15:K29)</f>
        <v>869269000</v>
      </c>
      <c r="L30" s="39">
        <f t="shared" si="5"/>
        <v>20373976.77</v>
      </c>
      <c r="M30" s="39">
        <f t="shared" si="5"/>
        <v>20373976.77</v>
      </c>
      <c r="N30" s="39">
        <f t="shared" si="5"/>
        <v>869269000</v>
      </c>
      <c r="O30" s="39">
        <f t="shared" ref="O30:P30" si="6">SUM(O15:O28)</f>
        <v>0</v>
      </c>
      <c r="P30" s="39">
        <f t="shared" si="6"/>
        <v>0</v>
      </c>
      <c r="Q30" s="39">
        <f t="shared" ref="Q30:S30" si="7">SUM(Q15:Q29)</f>
        <v>0</v>
      </c>
      <c r="R30" s="39">
        <f t="shared" si="7"/>
        <v>869269000</v>
      </c>
      <c r="S30" s="39">
        <f t="shared" si="7"/>
        <v>118383639.41</v>
      </c>
      <c r="T30" s="40">
        <f t="shared" si="2"/>
        <v>0.13618757761981617</v>
      </c>
      <c r="U30" s="39">
        <f>SUM(U15:U29)</f>
        <v>118205009.17999999</v>
      </c>
      <c r="V30" s="40">
        <f t="shared" si="3"/>
        <v>0.13598208285352403</v>
      </c>
      <c r="W30" s="39">
        <f>SUM(W15:W29)</f>
        <v>118138215.11</v>
      </c>
      <c r="X30" s="40">
        <f t="shared" si="4"/>
        <v>0.1359052434976975</v>
      </c>
      <c r="Y30" s="5"/>
      <c r="Z30" s="5"/>
      <c r="AA30" s="5"/>
    </row>
    <row r="31" spans="1:27" ht="15" customHeight="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39"/>
      <c r="L31" s="39"/>
      <c r="M31" s="39"/>
      <c r="N31" s="39"/>
      <c r="O31" s="39"/>
      <c r="P31" s="39"/>
      <c r="Q31" s="39"/>
      <c r="R31" s="39"/>
      <c r="S31" s="39"/>
      <c r="T31" s="40"/>
      <c r="U31" s="39"/>
      <c r="V31" s="40"/>
      <c r="W31" s="39"/>
      <c r="X31" s="40"/>
      <c r="Y31" s="5"/>
      <c r="Z31" s="5"/>
      <c r="AA31" s="5"/>
    </row>
    <row r="32" spans="1:27" ht="15" customHeight="1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38"/>
      <c r="U32" s="43"/>
      <c r="V32" s="38"/>
      <c r="W32" s="43"/>
      <c r="X32" s="38"/>
      <c r="Y32" s="5"/>
      <c r="Z32" s="5"/>
      <c r="AA32" s="5"/>
    </row>
    <row r="33" spans="1:27" ht="70.5" customHeight="1">
      <c r="A33" s="22" t="s">
        <v>87</v>
      </c>
      <c r="B33" s="23" t="s">
        <v>88</v>
      </c>
      <c r="C33" s="23" t="s">
        <v>50</v>
      </c>
      <c r="D33" s="23" t="s">
        <v>89</v>
      </c>
      <c r="E33" s="33" t="s">
        <v>90</v>
      </c>
      <c r="F33" s="23" t="s">
        <v>91</v>
      </c>
      <c r="G33" s="23" t="s">
        <v>54</v>
      </c>
      <c r="H33" s="23" t="s">
        <v>92</v>
      </c>
      <c r="I33" s="23" t="s">
        <v>56</v>
      </c>
      <c r="J33" s="44">
        <v>4</v>
      </c>
      <c r="K33" s="45">
        <v>2000000</v>
      </c>
      <c r="L33" s="25">
        <v>0</v>
      </c>
      <c r="M33" s="25">
        <v>104217.92</v>
      </c>
      <c r="N33" s="26">
        <f t="shared" ref="N33:N72" si="8">K33+L33-M33</f>
        <v>1895782.08</v>
      </c>
      <c r="O33" s="26"/>
      <c r="P33" s="26"/>
      <c r="Q33" s="26"/>
      <c r="R33" s="26">
        <f t="shared" ref="R33:R72" si="9">N33-O33+P33+Q33</f>
        <v>1895782.08</v>
      </c>
      <c r="S33" s="45">
        <v>1883187.59</v>
      </c>
      <c r="T33" s="28">
        <f t="shared" ref="T33:T74" si="10">IF(R33&gt;0,S33/R33,0)</f>
        <v>0.99335657292424662</v>
      </c>
      <c r="U33" s="46">
        <v>0</v>
      </c>
      <c r="V33" s="28">
        <f t="shared" ref="V33:V74" si="11">IF(R33&gt;0,U33/R33,0)</f>
        <v>0</v>
      </c>
      <c r="W33" s="25">
        <v>0</v>
      </c>
      <c r="X33" s="28">
        <f t="shared" ref="X33:X74" si="12">IF(R33&gt;0,W33/R33,0)</f>
        <v>0</v>
      </c>
      <c r="Y33" s="5"/>
      <c r="Z33" s="5"/>
      <c r="AA33" s="5"/>
    </row>
    <row r="34" spans="1:27" ht="54" hidden="1" customHeight="1">
      <c r="A34" s="22" t="s">
        <v>87</v>
      </c>
      <c r="B34" s="23" t="s">
        <v>88</v>
      </c>
      <c r="C34" s="23" t="s">
        <v>50</v>
      </c>
      <c r="D34" s="23" t="s">
        <v>93</v>
      </c>
      <c r="E34" s="33" t="s">
        <v>90</v>
      </c>
      <c r="F34" s="23" t="s">
        <v>91</v>
      </c>
      <c r="G34" s="23" t="s">
        <v>54</v>
      </c>
      <c r="H34" s="23" t="s">
        <v>94</v>
      </c>
      <c r="I34" s="23" t="s">
        <v>56</v>
      </c>
      <c r="J34" s="24">
        <v>3</v>
      </c>
      <c r="K34" s="45"/>
      <c r="L34" s="25"/>
      <c r="M34" s="25"/>
      <c r="N34" s="26">
        <f t="shared" si="8"/>
        <v>0</v>
      </c>
      <c r="O34" s="26"/>
      <c r="P34" s="26"/>
      <c r="Q34" s="26"/>
      <c r="R34" s="26">
        <f t="shared" si="9"/>
        <v>0</v>
      </c>
      <c r="S34" s="45"/>
      <c r="T34" s="28">
        <f t="shared" si="10"/>
        <v>0</v>
      </c>
      <c r="U34" s="29"/>
      <c r="V34" s="28">
        <f t="shared" si="11"/>
        <v>0</v>
      </c>
      <c r="W34" s="25"/>
      <c r="X34" s="28">
        <f t="shared" si="12"/>
        <v>0</v>
      </c>
      <c r="Y34" s="5"/>
      <c r="Z34" s="5"/>
      <c r="AA34" s="5"/>
    </row>
    <row r="35" spans="1:27" ht="59.25" customHeight="1">
      <c r="A35" s="22" t="s">
        <v>87</v>
      </c>
      <c r="B35" s="23" t="s">
        <v>88</v>
      </c>
      <c r="C35" s="23" t="s">
        <v>50</v>
      </c>
      <c r="D35" s="23" t="s">
        <v>157</v>
      </c>
      <c r="E35" s="33" t="s">
        <v>90</v>
      </c>
      <c r="F35" s="23" t="s">
        <v>91</v>
      </c>
      <c r="G35" s="23" t="s">
        <v>54</v>
      </c>
      <c r="H35" s="23" t="s">
        <v>92</v>
      </c>
      <c r="I35" s="23" t="s">
        <v>56</v>
      </c>
      <c r="J35" s="44">
        <v>4</v>
      </c>
      <c r="K35" s="45">
        <v>0</v>
      </c>
      <c r="L35" s="25">
        <v>17200</v>
      </c>
      <c r="M35" s="25">
        <v>0</v>
      </c>
      <c r="N35" s="26">
        <f t="shared" si="8"/>
        <v>17200</v>
      </c>
      <c r="O35" s="26"/>
      <c r="P35" s="26"/>
      <c r="Q35" s="26"/>
      <c r="R35" s="26">
        <f t="shared" si="9"/>
        <v>17200</v>
      </c>
      <c r="S35" s="45">
        <v>0</v>
      </c>
      <c r="T35" s="28">
        <f t="shared" si="10"/>
        <v>0</v>
      </c>
      <c r="U35" s="46">
        <v>0</v>
      </c>
      <c r="V35" s="28">
        <f t="shared" si="11"/>
        <v>0</v>
      </c>
      <c r="W35" s="25">
        <v>0</v>
      </c>
      <c r="X35" s="28">
        <f t="shared" si="12"/>
        <v>0</v>
      </c>
      <c r="Y35" s="5"/>
      <c r="Z35" s="5"/>
      <c r="AA35" s="5"/>
    </row>
    <row r="36" spans="1:27" ht="66" hidden="1" customHeight="1">
      <c r="A36" s="22" t="s">
        <v>87</v>
      </c>
      <c r="B36" s="23" t="s">
        <v>88</v>
      </c>
      <c r="C36" s="23" t="s">
        <v>50</v>
      </c>
      <c r="D36" s="23" t="s">
        <v>96</v>
      </c>
      <c r="E36" s="33" t="s">
        <v>90</v>
      </c>
      <c r="F36" s="23" t="s">
        <v>91</v>
      </c>
      <c r="G36" s="23" t="s">
        <v>54</v>
      </c>
      <c r="H36" s="23" t="s">
        <v>92</v>
      </c>
      <c r="I36" s="23" t="s">
        <v>56</v>
      </c>
      <c r="J36" s="24">
        <v>3</v>
      </c>
      <c r="K36" s="45"/>
      <c r="L36" s="25"/>
      <c r="M36" s="25"/>
      <c r="N36" s="26">
        <f t="shared" si="8"/>
        <v>0</v>
      </c>
      <c r="O36" s="26"/>
      <c r="P36" s="26"/>
      <c r="Q36" s="26"/>
      <c r="R36" s="26">
        <f t="shared" si="9"/>
        <v>0</v>
      </c>
      <c r="S36" s="45"/>
      <c r="T36" s="28">
        <f t="shared" si="10"/>
        <v>0</v>
      </c>
      <c r="U36" s="29"/>
      <c r="V36" s="28">
        <f t="shared" si="11"/>
        <v>0</v>
      </c>
      <c r="W36" s="25"/>
      <c r="X36" s="28">
        <f t="shared" si="12"/>
        <v>0</v>
      </c>
      <c r="Y36" s="5"/>
      <c r="Z36" s="5"/>
      <c r="AA36" s="5"/>
    </row>
    <row r="37" spans="1:27" ht="52.5" hidden="1" customHeight="1">
      <c r="A37" s="47" t="s">
        <v>87</v>
      </c>
      <c r="B37" s="23" t="s">
        <v>88</v>
      </c>
      <c r="C37" s="48" t="s">
        <v>50</v>
      </c>
      <c r="D37" s="48" t="s">
        <v>96</v>
      </c>
      <c r="E37" s="33" t="s">
        <v>90</v>
      </c>
      <c r="F37" s="23" t="s">
        <v>91</v>
      </c>
      <c r="G37" s="48" t="s">
        <v>54</v>
      </c>
      <c r="H37" s="48" t="s">
        <v>94</v>
      </c>
      <c r="I37" s="23" t="s">
        <v>56</v>
      </c>
      <c r="J37" s="49">
        <v>4</v>
      </c>
      <c r="K37" s="45"/>
      <c r="L37" s="50"/>
      <c r="M37" s="50"/>
      <c r="N37" s="26">
        <f t="shared" si="8"/>
        <v>0</v>
      </c>
      <c r="O37" s="51"/>
      <c r="P37" s="51"/>
      <c r="Q37" s="51"/>
      <c r="R37" s="26">
        <f t="shared" si="9"/>
        <v>0</v>
      </c>
      <c r="S37" s="52"/>
      <c r="T37" s="28">
        <f t="shared" si="10"/>
        <v>0</v>
      </c>
      <c r="U37" s="53"/>
      <c r="V37" s="28">
        <f t="shared" si="11"/>
        <v>0</v>
      </c>
      <c r="W37" s="50"/>
      <c r="X37" s="28">
        <f t="shared" si="12"/>
        <v>0</v>
      </c>
      <c r="Y37" s="5"/>
      <c r="Z37" s="5"/>
      <c r="AA37" s="5"/>
    </row>
    <row r="38" spans="1:27" ht="66" customHeight="1">
      <c r="A38" s="22" t="s">
        <v>87</v>
      </c>
      <c r="B38" s="23" t="s">
        <v>88</v>
      </c>
      <c r="C38" s="23" t="s">
        <v>50</v>
      </c>
      <c r="D38" s="23" t="s">
        <v>97</v>
      </c>
      <c r="E38" s="33" t="s">
        <v>90</v>
      </c>
      <c r="F38" s="23" t="s">
        <v>91</v>
      </c>
      <c r="G38" s="23" t="s">
        <v>54</v>
      </c>
      <c r="H38" s="23" t="s">
        <v>92</v>
      </c>
      <c r="I38" s="23" t="s">
        <v>56</v>
      </c>
      <c r="J38" s="24">
        <v>3</v>
      </c>
      <c r="K38" s="34">
        <v>0</v>
      </c>
      <c r="L38" s="25">
        <v>861515.9</v>
      </c>
      <c r="M38" s="25">
        <v>0</v>
      </c>
      <c r="N38" s="26">
        <f t="shared" si="8"/>
        <v>861515.9</v>
      </c>
      <c r="O38" s="27"/>
      <c r="P38" s="27"/>
      <c r="Q38" s="27"/>
      <c r="R38" s="26">
        <f t="shared" si="9"/>
        <v>861515.9</v>
      </c>
      <c r="S38" s="37">
        <v>0</v>
      </c>
      <c r="T38" s="28">
        <f t="shared" si="10"/>
        <v>0</v>
      </c>
      <c r="U38" s="29">
        <v>0</v>
      </c>
      <c r="V38" s="28">
        <f t="shared" si="11"/>
        <v>0</v>
      </c>
      <c r="W38" s="25">
        <v>0</v>
      </c>
      <c r="X38" s="28">
        <f t="shared" si="12"/>
        <v>0</v>
      </c>
      <c r="Y38" s="5"/>
      <c r="Z38" s="5"/>
      <c r="AA38" s="5"/>
    </row>
    <row r="39" spans="1:27" ht="69.75" customHeight="1">
      <c r="A39" s="22" t="s">
        <v>87</v>
      </c>
      <c r="B39" s="23" t="s">
        <v>88</v>
      </c>
      <c r="C39" s="23" t="s">
        <v>50</v>
      </c>
      <c r="D39" s="23" t="s">
        <v>97</v>
      </c>
      <c r="E39" s="33" t="s">
        <v>90</v>
      </c>
      <c r="F39" s="23" t="s">
        <v>91</v>
      </c>
      <c r="G39" s="23" t="s">
        <v>54</v>
      </c>
      <c r="H39" s="23" t="s">
        <v>92</v>
      </c>
      <c r="I39" s="23" t="s">
        <v>56</v>
      </c>
      <c r="J39" s="44">
        <v>4</v>
      </c>
      <c r="K39" s="34">
        <v>0</v>
      </c>
      <c r="L39" s="25">
        <v>104217.92</v>
      </c>
      <c r="M39" s="25">
        <v>0</v>
      </c>
      <c r="N39" s="26">
        <f t="shared" si="8"/>
        <v>104217.92</v>
      </c>
      <c r="O39" s="27"/>
      <c r="P39" s="27"/>
      <c r="Q39" s="27"/>
      <c r="R39" s="26">
        <f t="shared" si="9"/>
        <v>104217.92</v>
      </c>
      <c r="S39" s="37">
        <v>104217.92</v>
      </c>
      <c r="T39" s="28">
        <f t="shared" si="10"/>
        <v>1</v>
      </c>
      <c r="U39" s="46">
        <v>0</v>
      </c>
      <c r="V39" s="28">
        <f t="shared" si="11"/>
        <v>0</v>
      </c>
      <c r="W39" s="25">
        <v>0</v>
      </c>
      <c r="X39" s="28">
        <f t="shared" si="12"/>
        <v>0</v>
      </c>
      <c r="Y39" s="5"/>
      <c r="Z39" s="5"/>
      <c r="AA39" s="5"/>
    </row>
    <row r="40" spans="1:27" ht="54" hidden="1" customHeight="1">
      <c r="A40" s="22" t="s">
        <v>87</v>
      </c>
      <c r="B40" s="23" t="s">
        <v>88</v>
      </c>
      <c r="C40" s="23" t="s">
        <v>50</v>
      </c>
      <c r="D40" s="23" t="s">
        <v>97</v>
      </c>
      <c r="E40" s="33" t="s">
        <v>90</v>
      </c>
      <c r="F40" s="23" t="s">
        <v>91</v>
      </c>
      <c r="G40" s="23" t="s">
        <v>54</v>
      </c>
      <c r="H40" s="23" t="s">
        <v>94</v>
      </c>
      <c r="I40" s="23" t="s">
        <v>56</v>
      </c>
      <c r="J40" s="24">
        <v>3</v>
      </c>
      <c r="K40" s="34"/>
      <c r="L40" s="25"/>
      <c r="M40" s="25"/>
      <c r="N40" s="26">
        <f t="shared" si="8"/>
        <v>0</v>
      </c>
      <c r="O40" s="27"/>
      <c r="P40" s="27"/>
      <c r="Q40" s="27"/>
      <c r="R40" s="26">
        <f t="shared" si="9"/>
        <v>0</v>
      </c>
      <c r="S40" s="37"/>
      <c r="T40" s="28">
        <f t="shared" si="10"/>
        <v>0</v>
      </c>
      <c r="U40" s="29"/>
      <c r="V40" s="28">
        <f t="shared" si="11"/>
        <v>0</v>
      </c>
      <c r="W40" s="25">
        <v>0</v>
      </c>
      <c r="X40" s="28">
        <f t="shared" si="12"/>
        <v>0</v>
      </c>
      <c r="Y40" s="5"/>
      <c r="Z40" s="5"/>
      <c r="AA40" s="5"/>
    </row>
    <row r="41" spans="1:27" ht="54" customHeight="1">
      <c r="A41" s="22" t="s">
        <v>87</v>
      </c>
      <c r="B41" s="23" t="s">
        <v>88</v>
      </c>
      <c r="C41" s="23" t="s">
        <v>50</v>
      </c>
      <c r="D41" s="23" t="s">
        <v>98</v>
      </c>
      <c r="E41" s="33" t="s">
        <v>90</v>
      </c>
      <c r="F41" s="23" t="s">
        <v>99</v>
      </c>
      <c r="G41" s="23" t="s">
        <v>54</v>
      </c>
      <c r="H41" s="23" t="s">
        <v>92</v>
      </c>
      <c r="I41" s="23" t="s">
        <v>56</v>
      </c>
      <c r="J41" s="44">
        <v>4</v>
      </c>
      <c r="K41" s="34">
        <v>3000000</v>
      </c>
      <c r="L41" s="25">
        <v>0</v>
      </c>
      <c r="M41" s="25">
        <v>169246.76</v>
      </c>
      <c r="N41" s="26">
        <f t="shared" si="8"/>
        <v>2830753.24</v>
      </c>
      <c r="O41" s="27"/>
      <c r="P41" s="27"/>
      <c r="Q41" s="27"/>
      <c r="R41" s="26">
        <f t="shared" si="9"/>
        <v>2830753.24</v>
      </c>
      <c r="S41" s="37">
        <v>0</v>
      </c>
      <c r="T41" s="28">
        <f t="shared" si="10"/>
        <v>0</v>
      </c>
      <c r="U41" s="46">
        <v>0</v>
      </c>
      <c r="V41" s="28">
        <f t="shared" si="11"/>
        <v>0</v>
      </c>
      <c r="W41" s="35">
        <v>0</v>
      </c>
      <c r="X41" s="28">
        <f t="shared" si="12"/>
        <v>0</v>
      </c>
      <c r="Y41" s="5"/>
      <c r="Z41" s="5"/>
      <c r="AA41" s="5"/>
    </row>
    <row r="42" spans="1:27" ht="54" customHeight="1">
      <c r="A42" s="22" t="s">
        <v>87</v>
      </c>
      <c r="B42" s="23" t="s">
        <v>88</v>
      </c>
      <c r="C42" s="23" t="s">
        <v>50</v>
      </c>
      <c r="D42" s="23" t="s">
        <v>100</v>
      </c>
      <c r="E42" s="33" t="s">
        <v>90</v>
      </c>
      <c r="F42" s="23" t="s">
        <v>101</v>
      </c>
      <c r="G42" s="23" t="s">
        <v>54</v>
      </c>
      <c r="H42" s="23" t="s">
        <v>92</v>
      </c>
      <c r="I42" s="23" t="s">
        <v>56</v>
      </c>
      <c r="J42" s="44">
        <v>4</v>
      </c>
      <c r="K42" s="34">
        <v>50000</v>
      </c>
      <c r="L42" s="25">
        <v>0</v>
      </c>
      <c r="M42" s="25">
        <v>50000</v>
      </c>
      <c r="N42" s="26">
        <f t="shared" si="8"/>
        <v>0</v>
      </c>
      <c r="O42" s="26"/>
      <c r="P42" s="26"/>
      <c r="Q42" s="26"/>
      <c r="R42" s="26">
        <f t="shared" si="9"/>
        <v>0</v>
      </c>
      <c r="S42" s="34">
        <v>0</v>
      </c>
      <c r="T42" s="28">
        <f t="shared" si="10"/>
        <v>0</v>
      </c>
      <c r="U42" s="46">
        <v>0</v>
      </c>
      <c r="V42" s="28">
        <f t="shared" si="11"/>
        <v>0</v>
      </c>
      <c r="W42" s="25">
        <v>0</v>
      </c>
      <c r="X42" s="28">
        <f t="shared" si="12"/>
        <v>0</v>
      </c>
      <c r="Y42" s="5"/>
      <c r="Z42" s="5"/>
      <c r="AA42" s="5"/>
    </row>
    <row r="43" spans="1:27" ht="54" customHeight="1">
      <c r="A43" s="22" t="s">
        <v>87</v>
      </c>
      <c r="B43" s="23" t="s">
        <v>88</v>
      </c>
      <c r="C43" s="23" t="s">
        <v>50</v>
      </c>
      <c r="D43" s="23" t="s">
        <v>51</v>
      </c>
      <c r="E43" s="33" t="s">
        <v>90</v>
      </c>
      <c r="F43" s="23" t="s">
        <v>102</v>
      </c>
      <c r="G43" s="23" t="s">
        <v>54</v>
      </c>
      <c r="H43" s="23" t="s">
        <v>92</v>
      </c>
      <c r="I43" s="23" t="s">
        <v>56</v>
      </c>
      <c r="J43" s="24">
        <v>3</v>
      </c>
      <c r="K43" s="34">
        <f>44253337-K44</f>
        <v>43753337</v>
      </c>
      <c r="L43" s="25">
        <f>3344943.4</f>
        <v>3344943.4</v>
      </c>
      <c r="M43" s="25">
        <v>4427709.3</v>
      </c>
      <c r="N43" s="26">
        <f t="shared" si="8"/>
        <v>42670571.100000001</v>
      </c>
      <c r="O43" s="26"/>
      <c r="P43" s="26"/>
      <c r="Q43" s="26"/>
      <c r="R43" s="26">
        <f t="shared" si="9"/>
        <v>42670571.100000001</v>
      </c>
      <c r="S43" s="34">
        <f>29120678.73-S44</f>
        <v>28875650.129999999</v>
      </c>
      <c r="T43" s="28">
        <f t="shared" si="10"/>
        <v>0.67671112398118327</v>
      </c>
      <c r="U43" s="29">
        <v>1887964.39</v>
      </c>
      <c r="V43" s="28">
        <f t="shared" si="11"/>
        <v>4.4245116513099585E-2</v>
      </c>
      <c r="W43" s="25">
        <v>1887964.39</v>
      </c>
      <c r="X43" s="28">
        <f t="shared" si="12"/>
        <v>4.4245116513099585E-2</v>
      </c>
      <c r="Y43" s="5"/>
      <c r="Z43" s="5"/>
      <c r="AA43" s="5"/>
    </row>
    <row r="44" spans="1:27" ht="54" customHeight="1">
      <c r="A44" s="22" t="s">
        <v>87</v>
      </c>
      <c r="B44" s="23" t="s">
        <v>88</v>
      </c>
      <c r="C44" s="23" t="s">
        <v>50</v>
      </c>
      <c r="D44" s="23" t="s">
        <v>51</v>
      </c>
      <c r="E44" s="33" t="s">
        <v>90</v>
      </c>
      <c r="F44" s="23" t="s">
        <v>102</v>
      </c>
      <c r="G44" s="23" t="s">
        <v>54</v>
      </c>
      <c r="H44" s="23" t="s">
        <v>92</v>
      </c>
      <c r="I44" s="23" t="s">
        <v>56</v>
      </c>
      <c r="J44" s="44">
        <v>4</v>
      </c>
      <c r="K44" s="34">
        <f>500000</f>
        <v>500000</v>
      </c>
      <c r="L44" s="25">
        <v>0</v>
      </c>
      <c r="M44" s="25">
        <v>0</v>
      </c>
      <c r="N44" s="26">
        <f t="shared" si="8"/>
        <v>500000</v>
      </c>
      <c r="O44" s="26"/>
      <c r="P44" s="26"/>
      <c r="Q44" s="26"/>
      <c r="R44" s="26">
        <f t="shared" si="9"/>
        <v>500000</v>
      </c>
      <c r="S44" s="25">
        <f>38775+38094+157959.6+10200</f>
        <v>245028.6</v>
      </c>
      <c r="T44" s="28">
        <f t="shared" si="10"/>
        <v>0.49005720000000003</v>
      </c>
      <c r="U44" s="46">
        <v>0</v>
      </c>
      <c r="V44" s="28">
        <f t="shared" si="11"/>
        <v>0</v>
      </c>
      <c r="W44" s="25">
        <v>0</v>
      </c>
      <c r="X44" s="28">
        <f t="shared" si="12"/>
        <v>0</v>
      </c>
      <c r="Y44" s="5"/>
      <c r="Z44" s="5"/>
      <c r="AA44" s="5"/>
    </row>
    <row r="45" spans="1:27" ht="54" hidden="1" customHeight="1">
      <c r="A45" s="22" t="s">
        <v>87</v>
      </c>
      <c r="B45" s="33" t="s">
        <v>88</v>
      </c>
      <c r="C45" s="33" t="s">
        <v>50</v>
      </c>
      <c r="D45" s="33" t="s">
        <v>51</v>
      </c>
      <c r="E45" s="33" t="s">
        <v>90</v>
      </c>
      <c r="F45" s="23" t="s">
        <v>102</v>
      </c>
      <c r="G45" s="33" t="s">
        <v>54</v>
      </c>
      <c r="H45" s="33" t="s">
        <v>94</v>
      </c>
      <c r="I45" s="33" t="s">
        <v>56</v>
      </c>
      <c r="J45" s="24">
        <v>3</v>
      </c>
      <c r="K45" s="34"/>
      <c r="L45" s="35"/>
      <c r="M45" s="35"/>
      <c r="N45" s="36">
        <f t="shared" si="8"/>
        <v>0</v>
      </c>
      <c r="O45" s="36"/>
      <c r="P45" s="36"/>
      <c r="Q45" s="36"/>
      <c r="R45" s="36">
        <f t="shared" si="9"/>
        <v>0</v>
      </c>
      <c r="S45" s="35"/>
      <c r="T45" s="38">
        <f t="shared" si="10"/>
        <v>0</v>
      </c>
      <c r="U45" s="54"/>
      <c r="V45" s="38">
        <f t="shared" si="11"/>
        <v>0</v>
      </c>
      <c r="W45" s="35">
        <v>0</v>
      </c>
      <c r="X45" s="38">
        <f t="shared" si="12"/>
        <v>0</v>
      </c>
      <c r="Y45" s="5"/>
      <c r="Z45" s="5"/>
      <c r="AA45" s="5"/>
    </row>
    <row r="46" spans="1:27" ht="54" customHeight="1">
      <c r="A46" s="22" t="s">
        <v>87</v>
      </c>
      <c r="B46" s="33" t="s">
        <v>88</v>
      </c>
      <c r="C46" s="33" t="s">
        <v>50</v>
      </c>
      <c r="D46" s="33" t="s">
        <v>57</v>
      </c>
      <c r="E46" s="33" t="s">
        <v>90</v>
      </c>
      <c r="F46" s="33" t="s">
        <v>103</v>
      </c>
      <c r="G46" s="33" t="s">
        <v>54</v>
      </c>
      <c r="H46" s="33" t="s">
        <v>92</v>
      </c>
      <c r="I46" s="33" t="s">
        <v>56</v>
      </c>
      <c r="J46" s="24">
        <v>3</v>
      </c>
      <c r="K46" s="34">
        <v>65000</v>
      </c>
      <c r="L46" s="35">
        <v>0</v>
      </c>
      <c r="M46" s="35">
        <v>0</v>
      </c>
      <c r="N46" s="36">
        <f t="shared" si="8"/>
        <v>65000</v>
      </c>
      <c r="O46" s="36"/>
      <c r="P46" s="36"/>
      <c r="Q46" s="36"/>
      <c r="R46" s="36">
        <f t="shared" si="9"/>
        <v>65000</v>
      </c>
      <c r="S46" s="35">
        <v>0</v>
      </c>
      <c r="T46" s="38">
        <f t="shared" si="10"/>
        <v>0</v>
      </c>
      <c r="U46" s="54">
        <v>0</v>
      </c>
      <c r="V46" s="38">
        <f t="shared" si="11"/>
        <v>0</v>
      </c>
      <c r="W46" s="35">
        <v>0</v>
      </c>
      <c r="X46" s="38">
        <f t="shared" si="12"/>
        <v>0</v>
      </c>
      <c r="Y46" s="5"/>
      <c r="Z46" s="5"/>
      <c r="AA46" s="5"/>
    </row>
    <row r="47" spans="1:27" ht="54" hidden="1" customHeight="1">
      <c r="A47" s="22" t="s">
        <v>87</v>
      </c>
      <c r="B47" s="33" t="s">
        <v>88</v>
      </c>
      <c r="C47" s="33" t="s">
        <v>50</v>
      </c>
      <c r="D47" s="33" t="s">
        <v>57</v>
      </c>
      <c r="E47" s="33" t="s">
        <v>104</v>
      </c>
      <c r="F47" s="33" t="s">
        <v>103</v>
      </c>
      <c r="G47" s="33" t="s">
        <v>54</v>
      </c>
      <c r="H47" s="33" t="s">
        <v>94</v>
      </c>
      <c r="I47" s="33" t="s">
        <v>63</v>
      </c>
      <c r="J47" s="24">
        <v>3</v>
      </c>
      <c r="K47" s="34"/>
      <c r="L47" s="35"/>
      <c r="M47" s="35"/>
      <c r="N47" s="36">
        <f t="shared" si="8"/>
        <v>0</v>
      </c>
      <c r="O47" s="36"/>
      <c r="P47" s="36"/>
      <c r="Q47" s="36"/>
      <c r="R47" s="36">
        <f t="shared" si="9"/>
        <v>0</v>
      </c>
      <c r="S47" s="37"/>
      <c r="T47" s="38">
        <f t="shared" si="10"/>
        <v>0</v>
      </c>
      <c r="U47" s="54"/>
      <c r="V47" s="38">
        <f t="shared" si="11"/>
        <v>0</v>
      </c>
      <c r="W47" s="35">
        <v>0</v>
      </c>
      <c r="X47" s="38">
        <f t="shared" si="12"/>
        <v>0</v>
      </c>
      <c r="Y47" s="5"/>
      <c r="Z47" s="5"/>
      <c r="AA47" s="5"/>
    </row>
    <row r="48" spans="1:27" ht="54" customHeight="1">
      <c r="A48" s="22" t="s">
        <v>87</v>
      </c>
      <c r="B48" s="33" t="s">
        <v>88</v>
      </c>
      <c r="C48" s="33" t="s">
        <v>50</v>
      </c>
      <c r="D48" s="33" t="s">
        <v>105</v>
      </c>
      <c r="E48" s="33" t="s">
        <v>104</v>
      </c>
      <c r="F48" s="33" t="s">
        <v>106</v>
      </c>
      <c r="G48" s="33" t="s">
        <v>54</v>
      </c>
      <c r="H48" s="33" t="s">
        <v>92</v>
      </c>
      <c r="I48" s="33" t="s">
        <v>63</v>
      </c>
      <c r="J48" s="44">
        <v>4</v>
      </c>
      <c r="K48" s="34">
        <v>800000</v>
      </c>
      <c r="L48" s="35">
        <v>0</v>
      </c>
      <c r="M48" s="35">
        <v>800000</v>
      </c>
      <c r="N48" s="36">
        <f t="shared" si="8"/>
        <v>0</v>
      </c>
      <c r="O48" s="36"/>
      <c r="P48" s="36"/>
      <c r="Q48" s="36"/>
      <c r="R48" s="36">
        <f t="shared" si="9"/>
        <v>0</v>
      </c>
      <c r="S48" s="37">
        <v>0</v>
      </c>
      <c r="T48" s="38">
        <f t="shared" si="10"/>
        <v>0</v>
      </c>
      <c r="U48" s="46">
        <v>0</v>
      </c>
      <c r="V48" s="38">
        <f t="shared" si="11"/>
        <v>0</v>
      </c>
      <c r="W48" s="35">
        <v>0</v>
      </c>
      <c r="X48" s="38">
        <f t="shared" si="12"/>
        <v>0</v>
      </c>
      <c r="Y48" s="5"/>
      <c r="Z48" s="5"/>
      <c r="AA48" s="5"/>
    </row>
    <row r="49" spans="1:27" ht="58.5" customHeight="1">
      <c r="A49" s="22" t="s">
        <v>87</v>
      </c>
      <c r="B49" s="33" t="s">
        <v>88</v>
      </c>
      <c r="C49" s="33" t="s">
        <v>50</v>
      </c>
      <c r="D49" s="33" t="s">
        <v>107</v>
      </c>
      <c r="E49" s="33" t="s">
        <v>104</v>
      </c>
      <c r="F49" s="33" t="s">
        <v>108</v>
      </c>
      <c r="G49" s="33" t="s">
        <v>54</v>
      </c>
      <c r="H49" s="33" t="s">
        <v>92</v>
      </c>
      <c r="I49" s="33" t="s">
        <v>63</v>
      </c>
      <c r="J49" s="44">
        <v>4</v>
      </c>
      <c r="K49" s="34">
        <v>50000</v>
      </c>
      <c r="L49" s="35">
        <v>0</v>
      </c>
      <c r="M49" s="35">
        <v>50000</v>
      </c>
      <c r="N49" s="36">
        <f t="shared" si="8"/>
        <v>0</v>
      </c>
      <c r="O49" s="36"/>
      <c r="P49" s="36"/>
      <c r="Q49" s="36"/>
      <c r="R49" s="36">
        <f t="shared" si="9"/>
        <v>0</v>
      </c>
      <c r="S49" s="37">
        <v>0</v>
      </c>
      <c r="T49" s="38">
        <f t="shared" si="10"/>
        <v>0</v>
      </c>
      <c r="U49" s="46">
        <v>0</v>
      </c>
      <c r="V49" s="38">
        <f t="shared" si="11"/>
        <v>0</v>
      </c>
      <c r="W49" s="35">
        <v>0</v>
      </c>
      <c r="X49" s="38">
        <f t="shared" si="12"/>
        <v>0</v>
      </c>
      <c r="Y49" s="5"/>
      <c r="Z49" s="5"/>
      <c r="AA49" s="5"/>
    </row>
    <row r="50" spans="1:27" ht="60.75" customHeight="1">
      <c r="A50" s="22" t="s">
        <v>87</v>
      </c>
      <c r="B50" s="33" t="s">
        <v>88</v>
      </c>
      <c r="C50" s="33" t="s">
        <v>50</v>
      </c>
      <c r="D50" s="33" t="s">
        <v>111</v>
      </c>
      <c r="E50" s="33" t="s">
        <v>104</v>
      </c>
      <c r="F50" s="33" t="s">
        <v>110</v>
      </c>
      <c r="G50" s="33" t="s">
        <v>54</v>
      </c>
      <c r="H50" s="33" t="s">
        <v>92</v>
      </c>
      <c r="I50" s="33" t="s">
        <v>63</v>
      </c>
      <c r="J50" s="44">
        <v>4</v>
      </c>
      <c r="K50" s="34">
        <v>200000</v>
      </c>
      <c r="L50" s="35">
        <v>0</v>
      </c>
      <c r="M50" s="35">
        <v>0</v>
      </c>
      <c r="N50" s="36">
        <f t="shared" si="8"/>
        <v>200000</v>
      </c>
      <c r="O50" s="36"/>
      <c r="P50" s="36"/>
      <c r="Q50" s="36"/>
      <c r="R50" s="36">
        <f t="shared" si="9"/>
        <v>200000</v>
      </c>
      <c r="S50" s="37">
        <v>200000</v>
      </c>
      <c r="T50" s="38">
        <f t="shared" si="10"/>
        <v>1</v>
      </c>
      <c r="U50" s="46">
        <v>0</v>
      </c>
      <c r="V50" s="38">
        <f t="shared" si="11"/>
        <v>0</v>
      </c>
      <c r="W50" s="35">
        <v>0</v>
      </c>
      <c r="X50" s="38">
        <f t="shared" si="12"/>
        <v>0</v>
      </c>
      <c r="Y50" s="5"/>
      <c r="Z50" s="5"/>
      <c r="AA50" s="5"/>
    </row>
    <row r="51" spans="1:27" ht="61.5" customHeight="1">
      <c r="A51" s="22" t="s">
        <v>87</v>
      </c>
      <c r="B51" s="33" t="s">
        <v>88</v>
      </c>
      <c r="C51" s="33" t="s">
        <v>50</v>
      </c>
      <c r="D51" s="33" t="s">
        <v>109</v>
      </c>
      <c r="E51" s="33" t="s">
        <v>104</v>
      </c>
      <c r="F51" s="33" t="s">
        <v>110</v>
      </c>
      <c r="G51" s="33" t="s">
        <v>54</v>
      </c>
      <c r="H51" s="33" t="s">
        <v>92</v>
      </c>
      <c r="I51" s="33" t="s">
        <v>63</v>
      </c>
      <c r="J51" s="24">
        <v>3</v>
      </c>
      <c r="K51" s="34">
        <v>0</v>
      </c>
      <c r="L51" s="35">
        <v>21603.9</v>
      </c>
      <c r="M51" s="35">
        <v>0</v>
      </c>
      <c r="N51" s="36">
        <f t="shared" si="8"/>
        <v>21603.9</v>
      </c>
      <c r="O51" s="36"/>
      <c r="P51" s="36"/>
      <c r="Q51" s="36"/>
      <c r="R51" s="36">
        <f t="shared" si="9"/>
        <v>21603.9</v>
      </c>
      <c r="S51" s="37">
        <v>21603.9</v>
      </c>
      <c r="T51" s="38">
        <f t="shared" si="10"/>
        <v>1</v>
      </c>
      <c r="U51" s="29">
        <v>0</v>
      </c>
      <c r="V51" s="38">
        <f t="shared" si="11"/>
        <v>0</v>
      </c>
      <c r="W51" s="35">
        <v>0</v>
      </c>
      <c r="X51" s="38">
        <f t="shared" si="12"/>
        <v>0</v>
      </c>
      <c r="Y51" s="5"/>
      <c r="Z51" s="5"/>
      <c r="AA51" s="5"/>
    </row>
    <row r="52" spans="1:27" ht="61.5" customHeight="1">
      <c r="A52" s="22" t="s">
        <v>87</v>
      </c>
      <c r="B52" s="33" t="s">
        <v>88</v>
      </c>
      <c r="C52" s="33" t="s">
        <v>50</v>
      </c>
      <c r="D52" s="33" t="s">
        <v>109</v>
      </c>
      <c r="E52" s="33" t="s">
        <v>104</v>
      </c>
      <c r="F52" s="33" t="s">
        <v>110</v>
      </c>
      <c r="G52" s="33" t="s">
        <v>54</v>
      </c>
      <c r="H52" s="33" t="s">
        <v>92</v>
      </c>
      <c r="I52" s="33" t="s">
        <v>63</v>
      </c>
      <c r="J52" s="44">
        <v>4</v>
      </c>
      <c r="K52" s="34">
        <v>0</v>
      </c>
      <c r="L52" s="35">
        <v>152046.76</v>
      </c>
      <c r="M52" s="35">
        <v>0</v>
      </c>
      <c r="N52" s="36">
        <f t="shared" si="8"/>
        <v>152046.76</v>
      </c>
      <c r="O52" s="36"/>
      <c r="P52" s="36"/>
      <c r="Q52" s="36"/>
      <c r="R52" s="36">
        <f t="shared" si="9"/>
        <v>152046.76</v>
      </c>
      <c r="S52" s="37">
        <v>152046.76</v>
      </c>
      <c r="T52" s="38">
        <f t="shared" si="10"/>
        <v>1</v>
      </c>
      <c r="U52" s="116">
        <v>0</v>
      </c>
      <c r="V52" s="38">
        <f t="shared" si="11"/>
        <v>0</v>
      </c>
      <c r="W52" s="35">
        <v>0</v>
      </c>
      <c r="X52" s="38">
        <f t="shared" si="12"/>
        <v>0</v>
      </c>
      <c r="Y52" s="5"/>
      <c r="Z52" s="5"/>
      <c r="AA52" s="5"/>
    </row>
    <row r="53" spans="1:27" ht="57.75" customHeight="1">
      <c r="A53" s="22" t="s">
        <v>87</v>
      </c>
      <c r="B53" s="33" t="s">
        <v>88</v>
      </c>
      <c r="C53" s="33" t="s">
        <v>50</v>
      </c>
      <c r="D53" s="33" t="s">
        <v>61</v>
      </c>
      <c r="E53" s="33" t="s">
        <v>104</v>
      </c>
      <c r="F53" s="33" t="s">
        <v>62</v>
      </c>
      <c r="G53" s="33" t="s">
        <v>54</v>
      </c>
      <c r="H53" s="33" t="s">
        <v>112</v>
      </c>
      <c r="I53" s="33" t="s">
        <v>63</v>
      </c>
      <c r="J53" s="24">
        <v>3</v>
      </c>
      <c r="K53" s="34">
        <v>300000</v>
      </c>
      <c r="L53" s="35">
        <v>10000</v>
      </c>
      <c r="M53" s="35">
        <v>10000</v>
      </c>
      <c r="N53" s="36">
        <f t="shared" si="8"/>
        <v>300000</v>
      </c>
      <c r="O53" s="36"/>
      <c r="P53" s="36"/>
      <c r="Q53" s="36"/>
      <c r="R53" s="36">
        <f t="shared" si="9"/>
        <v>300000</v>
      </c>
      <c r="S53" s="37">
        <v>15250</v>
      </c>
      <c r="T53" s="38">
        <f t="shared" si="10"/>
        <v>5.0833333333333335E-2</v>
      </c>
      <c r="U53" s="54">
        <v>0</v>
      </c>
      <c r="V53" s="38">
        <f t="shared" si="11"/>
        <v>0</v>
      </c>
      <c r="W53" s="35">
        <v>0</v>
      </c>
      <c r="X53" s="38">
        <f t="shared" si="12"/>
        <v>0</v>
      </c>
      <c r="Y53" s="5"/>
      <c r="Z53" s="5"/>
      <c r="AA53" s="5"/>
    </row>
    <row r="54" spans="1:27" ht="54" customHeight="1">
      <c r="A54" s="22" t="s">
        <v>87</v>
      </c>
      <c r="B54" s="23" t="s">
        <v>88</v>
      </c>
      <c r="C54" s="23" t="s">
        <v>50</v>
      </c>
      <c r="D54" s="23" t="s">
        <v>64</v>
      </c>
      <c r="E54" s="33" t="s">
        <v>104</v>
      </c>
      <c r="F54" s="33" t="s">
        <v>66</v>
      </c>
      <c r="G54" s="23" t="s">
        <v>54</v>
      </c>
      <c r="H54" s="23" t="s">
        <v>92</v>
      </c>
      <c r="I54" s="23" t="s">
        <v>63</v>
      </c>
      <c r="J54" s="24">
        <v>3</v>
      </c>
      <c r="K54" s="34">
        <v>20000</v>
      </c>
      <c r="L54" s="25">
        <v>0</v>
      </c>
      <c r="M54" s="25">
        <v>0</v>
      </c>
      <c r="N54" s="26">
        <f t="shared" si="8"/>
        <v>20000</v>
      </c>
      <c r="O54" s="26"/>
      <c r="P54" s="26"/>
      <c r="Q54" s="26"/>
      <c r="R54" s="26">
        <f t="shared" si="9"/>
        <v>20000</v>
      </c>
      <c r="S54" s="37">
        <v>0</v>
      </c>
      <c r="T54" s="28">
        <f t="shared" si="10"/>
        <v>0</v>
      </c>
      <c r="U54" s="29">
        <v>0</v>
      </c>
      <c r="V54" s="28">
        <f t="shared" si="11"/>
        <v>0</v>
      </c>
      <c r="W54" s="25">
        <v>0</v>
      </c>
      <c r="X54" s="28">
        <f t="shared" si="12"/>
        <v>0</v>
      </c>
      <c r="Y54" s="5"/>
      <c r="Z54" s="5"/>
      <c r="AA54" s="5"/>
    </row>
    <row r="55" spans="1:27" ht="54" hidden="1" customHeight="1">
      <c r="A55" s="22" t="s">
        <v>87</v>
      </c>
      <c r="B55" s="23" t="s">
        <v>88</v>
      </c>
      <c r="C55" s="23" t="s">
        <v>50</v>
      </c>
      <c r="D55" s="23" t="s">
        <v>64</v>
      </c>
      <c r="E55" s="33" t="s">
        <v>104</v>
      </c>
      <c r="F55" s="33" t="s">
        <v>66</v>
      </c>
      <c r="G55" s="23" t="s">
        <v>54</v>
      </c>
      <c r="H55" s="23" t="s">
        <v>94</v>
      </c>
      <c r="I55" s="23" t="s">
        <v>63</v>
      </c>
      <c r="J55" s="24">
        <v>3</v>
      </c>
      <c r="K55" s="34"/>
      <c r="L55" s="25"/>
      <c r="M55" s="25"/>
      <c r="N55" s="26">
        <f t="shared" si="8"/>
        <v>0</v>
      </c>
      <c r="O55" s="26"/>
      <c r="P55" s="26"/>
      <c r="Q55" s="26"/>
      <c r="R55" s="26">
        <f t="shared" si="9"/>
        <v>0</v>
      </c>
      <c r="S55" s="37"/>
      <c r="T55" s="28">
        <f t="shared" si="10"/>
        <v>0</v>
      </c>
      <c r="U55" s="29"/>
      <c r="V55" s="28">
        <f t="shared" si="11"/>
        <v>0</v>
      </c>
      <c r="W55" s="25"/>
      <c r="X55" s="28">
        <f t="shared" si="12"/>
        <v>0</v>
      </c>
      <c r="Y55" s="5"/>
      <c r="Z55" s="5"/>
      <c r="AA55" s="5"/>
    </row>
    <row r="56" spans="1:27" ht="54" customHeight="1">
      <c r="A56" s="22" t="s">
        <v>87</v>
      </c>
      <c r="B56" s="23" t="s">
        <v>88</v>
      </c>
      <c r="C56" s="23" t="s">
        <v>50</v>
      </c>
      <c r="D56" s="23" t="s">
        <v>113</v>
      </c>
      <c r="E56" s="33" t="s">
        <v>104</v>
      </c>
      <c r="F56" s="33" t="s">
        <v>114</v>
      </c>
      <c r="G56" s="23" t="s">
        <v>54</v>
      </c>
      <c r="H56" s="23" t="s">
        <v>92</v>
      </c>
      <c r="I56" s="23" t="s">
        <v>63</v>
      </c>
      <c r="J56" s="24">
        <v>3</v>
      </c>
      <c r="K56" s="34">
        <f>9026663-K57</f>
        <v>8826663</v>
      </c>
      <c r="L56" s="25">
        <f>3382712.91-L57</f>
        <v>2694696.81</v>
      </c>
      <c r="M56" s="25">
        <v>91696.81</v>
      </c>
      <c r="N56" s="26">
        <f t="shared" si="8"/>
        <v>11429663</v>
      </c>
      <c r="O56" s="26"/>
      <c r="P56" s="26"/>
      <c r="Q56" s="26"/>
      <c r="R56" s="26">
        <f t="shared" si="9"/>
        <v>11429663</v>
      </c>
      <c r="S56" s="25">
        <f>10517007.8-S57</f>
        <v>9786689.8000000007</v>
      </c>
      <c r="T56" s="28">
        <f t="shared" si="10"/>
        <v>0.85625357458045792</v>
      </c>
      <c r="U56" s="29">
        <v>958896.68</v>
      </c>
      <c r="V56" s="28">
        <f t="shared" si="11"/>
        <v>8.3895446436172263E-2</v>
      </c>
      <c r="W56" s="25">
        <v>958896.68</v>
      </c>
      <c r="X56" s="28">
        <f t="shared" si="12"/>
        <v>8.3895446436172263E-2</v>
      </c>
      <c r="Y56" s="5"/>
      <c r="Z56" s="5"/>
      <c r="AA56" s="5"/>
    </row>
    <row r="57" spans="1:27" ht="54" customHeight="1">
      <c r="A57" s="22" t="s">
        <v>87</v>
      </c>
      <c r="B57" s="23" t="s">
        <v>88</v>
      </c>
      <c r="C57" s="23" t="s">
        <v>50</v>
      </c>
      <c r="D57" s="23" t="s">
        <v>113</v>
      </c>
      <c r="E57" s="33" t="s">
        <v>104</v>
      </c>
      <c r="F57" s="33" t="s">
        <v>114</v>
      </c>
      <c r="G57" s="23" t="s">
        <v>54</v>
      </c>
      <c r="H57" s="23" t="s">
        <v>92</v>
      </c>
      <c r="I57" s="23" t="s">
        <v>63</v>
      </c>
      <c r="J57" s="44">
        <v>4</v>
      </c>
      <c r="K57" s="34">
        <v>200000</v>
      </c>
      <c r="L57" s="25">
        <f>688016.1</f>
        <v>688016.1</v>
      </c>
      <c r="M57" s="25">
        <v>0</v>
      </c>
      <c r="N57" s="26">
        <f t="shared" si="8"/>
        <v>888016.1</v>
      </c>
      <c r="O57" s="26"/>
      <c r="P57" s="26"/>
      <c r="Q57" s="26"/>
      <c r="R57" s="26">
        <f t="shared" si="9"/>
        <v>888016.1</v>
      </c>
      <c r="S57" s="25">
        <f>1498+728820</f>
        <v>730318</v>
      </c>
      <c r="T57" s="28">
        <f t="shared" si="10"/>
        <v>0.82241526927270803</v>
      </c>
      <c r="U57" s="46">
        <v>0</v>
      </c>
      <c r="V57" s="28">
        <f t="shared" si="11"/>
        <v>0</v>
      </c>
      <c r="W57" s="25">
        <v>0</v>
      </c>
      <c r="X57" s="28">
        <f t="shared" si="12"/>
        <v>0</v>
      </c>
      <c r="Y57" s="5"/>
      <c r="Z57" s="5"/>
      <c r="AA57" s="5"/>
    </row>
    <row r="58" spans="1:27" ht="54" hidden="1" customHeight="1">
      <c r="A58" s="22" t="s">
        <v>87</v>
      </c>
      <c r="B58" s="23" t="s">
        <v>88</v>
      </c>
      <c r="C58" s="23" t="s">
        <v>50</v>
      </c>
      <c r="D58" s="23" t="s">
        <v>113</v>
      </c>
      <c r="E58" s="33" t="s">
        <v>104</v>
      </c>
      <c r="F58" s="33" t="s">
        <v>114</v>
      </c>
      <c r="G58" s="23" t="s">
        <v>54</v>
      </c>
      <c r="H58" s="23" t="s">
        <v>94</v>
      </c>
      <c r="I58" s="23" t="s">
        <v>63</v>
      </c>
      <c r="J58" s="24">
        <v>3</v>
      </c>
      <c r="K58" s="34"/>
      <c r="L58" s="25"/>
      <c r="M58" s="25"/>
      <c r="N58" s="26">
        <f t="shared" si="8"/>
        <v>0</v>
      </c>
      <c r="O58" s="26"/>
      <c r="P58" s="26"/>
      <c r="Q58" s="26"/>
      <c r="R58" s="26">
        <f t="shared" si="9"/>
        <v>0</v>
      </c>
      <c r="S58" s="35"/>
      <c r="T58" s="28">
        <f t="shared" si="10"/>
        <v>0</v>
      </c>
      <c r="U58" s="29"/>
      <c r="V58" s="28">
        <f t="shared" si="11"/>
        <v>0</v>
      </c>
      <c r="W58" s="25"/>
      <c r="X58" s="28">
        <f t="shared" si="12"/>
        <v>0</v>
      </c>
      <c r="Y58" s="5"/>
      <c r="Z58" s="5"/>
      <c r="AA58" s="5"/>
    </row>
    <row r="59" spans="1:27" ht="54" hidden="1" customHeight="1">
      <c r="A59" s="22" t="s">
        <v>87</v>
      </c>
      <c r="B59" s="23" t="s">
        <v>88</v>
      </c>
      <c r="C59" s="23" t="s">
        <v>50</v>
      </c>
      <c r="D59" s="23" t="s">
        <v>113</v>
      </c>
      <c r="E59" s="33" t="s">
        <v>104</v>
      </c>
      <c r="F59" s="33" t="s">
        <v>114</v>
      </c>
      <c r="G59" s="23" t="s">
        <v>54</v>
      </c>
      <c r="H59" s="23" t="s">
        <v>94</v>
      </c>
      <c r="I59" s="23" t="s">
        <v>63</v>
      </c>
      <c r="J59" s="44">
        <v>4</v>
      </c>
      <c r="K59" s="34"/>
      <c r="L59" s="25"/>
      <c r="M59" s="25"/>
      <c r="N59" s="26">
        <f t="shared" si="8"/>
        <v>0</v>
      </c>
      <c r="O59" s="26"/>
      <c r="P59" s="26"/>
      <c r="Q59" s="26"/>
      <c r="R59" s="26">
        <f t="shared" si="9"/>
        <v>0</v>
      </c>
      <c r="S59" s="35"/>
      <c r="T59" s="28">
        <f t="shared" si="10"/>
        <v>0</v>
      </c>
      <c r="U59" s="46"/>
      <c r="V59" s="28">
        <f t="shared" si="11"/>
        <v>0</v>
      </c>
      <c r="W59" s="25"/>
      <c r="X59" s="28">
        <f t="shared" si="12"/>
        <v>0</v>
      </c>
      <c r="Y59" s="5"/>
      <c r="Z59" s="5"/>
      <c r="AA59" s="5"/>
    </row>
    <row r="60" spans="1:27" ht="63" hidden="1" customHeight="1">
      <c r="A60" s="22" t="s">
        <v>87</v>
      </c>
      <c r="B60" s="23" t="s">
        <v>88</v>
      </c>
      <c r="C60" s="23" t="s">
        <v>50</v>
      </c>
      <c r="D60" s="23" t="s">
        <v>113</v>
      </c>
      <c r="E60" s="33" t="s">
        <v>65</v>
      </c>
      <c r="F60" s="33" t="s">
        <v>114</v>
      </c>
      <c r="G60" s="23" t="s">
        <v>54</v>
      </c>
      <c r="H60" s="23" t="s">
        <v>115</v>
      </c>
      <c r="I60" s="23" t="s">
        <v>56</v>
      </c>
      <c r="J60" s="24">
        <v>3</v>
      </c>
      <c r="K60" s="34"/>
      <c r="L60" s="25"/>
      <c r="M60" s="25"/>
      <c r="N60" s="26">
        <f t="shared" si="8"/>
        <v>0</v>
      </c>
      <c r="O60" s="26"/>
      <c r="P60" s="26"/>
      <c r="Q60" s="26"/>
      <c r="R60" s="26">
        <f t="shared" si="9"/>
        <v>0</v>
      </c>
      <c r="S60" s="35"/>
      <c r="T60" s="28">
        <f t="shared" si="10"/>
        <v>0</v>
      </c>
      <c r="U60" s="29"/>
      <c r="V60" s="28">
        <f t="shared" si="11"/>
        <v>0</v>
      </c>
      <c r="W60" s="25"/>
      <c r="X60" s="28">
        <f t="shared" si="12"/>
        <v>0</v>
      </c>
      <c r="Y60" s="5"/>
      <c r="Z60" s="5"/>
      <c r="AA60" s="5"/>
    </row>
    <row r="61" spans="1:27" ht="63" customHeight="1">
      <c r="A61" s="22" t="s">
        <v>87</v>
      </c>
      <c r="B61" s="23" t="s">
        <v>88</v>
      </c>
      <c r="C61" s="23" t="s">
        <v>50</v>
      </c>
      <c r="D61" s="23" t="s">
        <v>116</v>
      </c>
      <c r="E61" s="33" t="s">
        <v>65</v>
      </c>
      <c r="F61" s="23" t="s">
        <v>117</v>
      </c>
      <c r="G61" s="23" t="s">
        <v>54</v>
      </c>
      <c r="H61" s="23" t="s">
        <v>92</v>
      </c>
      <c r="I61" s="23" t="s">
        <v>56</v>
      </c>
      <c r="J61" s="24">
        <v>3</v>
      </c>
      <c r="K61" s="34">
        <v>300000</v>
      </c>
      <c r="L61" s="25">
        <v>0</v>
      </c>
      <c r="M61" s="25">
        <v>0</v>
      </c>
      <c r="N61" s="26">
        <f t="shared" si="8"/>
        <v>300000</v>
      </c>
      <c r="O61" s="26"/>
      <c r="P61" s="26"/>
      <c r="Q61" s="26"/>
      <c r="R61" s="26">
        <f t="shared" si="9"/>
        <v>300000</v>
      </c>
      <c r="S61" s="35">
        <v>12798</v>
      </c>
      <c r="T61" s="28">
        <f t="shared" si="10"/>
        <v>4.2659999999999997E-2</v>
      </c>
      <c r="U61" s="29">
        <v>12798</v>
      </c>
      <c r="V61" s="28">
        <f t="shared" si="11"/>
        <v>4.2659999999999997E-2</v>
      </c>
      <c r="W61" s="25">
        <v>12798</v>
      </c>
      <c r="X61" s="28">
        <f t="shared" si="12"/>
        <v>4.2659999999999997E-2</v>
      </c>
      <c r="Y61" s="5"/>
      <c r="Z61" s="5"/>
      <c r="AA61" s="5"/>
    </row>
    <row r="62" spans="1:27" ht="63" customHeight="1">
      <c r="A62" s="22" t="s">
        <v>87</v>
      </c>
      <c r="B62" s="23" t="s">
        <v>88</v>
      </c>
      <c r="C62" s="23" t="s">
        <v>50</v>
      </c>
      <c r="D62" s="23" t="s">
        <v>71</v>
      </c>
      <c r="E62" s="33" t="s">
        <v>65</v>
      </c>
      <c r="F62" s="23" t="s">
        <v>72</v>
      </c>
      <c r="G62" s="23" t="s">
        <v>54</v>
      </c>
      <c r="H62" s="23" t="s">
        <v>92</v>
      </c>
      <c r="I62" s="23" t="s">
        <v>56</v>
      </c>
      <c r="J62" s="24">
        <v>3</v>
      </c>
      <c r="K62" s="34">
        <v>15000</v>
      </c>
      <c r="L62" s="25">
        <v>0</v>
      </c>
      <c r="M62" s="25">
        <v>0</v>
      </c>
      <c r="N62" s="26">
        <f t="shared" si="8"/>
        <v>15000</v>
      </c>
      <c r="O62" s="26"/>
      <c r="P62" s="26"/>
      <c r="Q62" s="26"/>
      <c r="R62" s="26">
        <f t="shared" si="9"/>
        <v>15000</v>
      </c>
      <c r="S62" s="35">
        <v>0</v>
      </c>
      <c r="T62" s="28">
        <f t="shared" si="10"/>
        <v>0</v>
      </c>
      <c r="U62" s="55">
        <v>0</v>
      </c>
      <c r="V62" s="28">
        <f t="shared" si="11"/>
        <v>0</v>
      </c>
      <c r="W62" s="25">
        <v>0</v>
      </c>
      <c r="X62" s="28">
        <f t="shared" si="12"/>
        <v>0</v>
      </c>
      <c r="Y62" s="5"/>
      <c r="Z62" s="5"/>
      <c r="AA62" s="5"/>
    </row>
    <row r="63" spans="1:27" ht="63" hidden="1" customHeight="1">
      <c r="A63" s="22" t="s">
        <v>87</v>
      </c>
      <c r="B63" s="23" t="s">
        <v>88</v>
      </c>
      <c r="C63" s="23" t="s">
        <v>50</v>
      </c>
      <c r="D63" s="23" t="s">
        <v>71</v>
      </c>
      <c r="E63" s="33" t="s">
        <v>65</v>
      </c>
      <c r="F63" s="23" t="s">
        <v>72</v>
      </c>
      <c r="G63" s="23" t="s">
        <v>54</v>
      </c>
      <c r="H63" s="23" t="s">
        <v>94</v>
      </c>
      <c r="I63" s="23" t="s">
        <v>56</v>
      </c>
      <c r="J63" s="24">
        <v>3</v>
      </c>
      <c r="K63" s="34"/>
      <c r="L63" s="25"/>
      <c r="M63" s="25"/>
      <c r="N63" s="26">
        <f t="shared" si="8"/>
        <v>0</v>
      </c>
      <c r="O63" s="26"/>
      <c r="P63" s="26"/>
      <c r="Q63" s="26"/>
      <c r="R63" s="26">
        <f t="shared" si="9"/>
        <v>0</v>
      </c>
      <c r="S63" s="35"/>
      <c r="T63" s="28">
        <f t="shared" si="10"/>
        <v>0</v>
      </c>
      <c r="U63" s="29"/>
      <c r="V63" s="28">
        <f t="shared" si="11"/>
        <v>0</v>
      </c>
      <c r="W63" s="25"/>
      <c r="X63" s="28">
        <f t="shared" si="12"/>
        <v>0</v>
      </c>
      <c r="Y63" s="5"/>
      <c r="Z63" s="5"/>
      <c r="AA63" s="5"/>
    </row>
    <row r="64" spans="1:27" ht="73.5" customHeight="1">
      <c r="A64" s="22" t="s">
        <v>87</v>
      </c>
      <c r="B64" s="23" t="s">
        <v>88</v>
      </c>
      <c r="C64" s="23" t="s">
        <v>118</v>
      </c>
      <c r="D64" s="23" t="s">
        <v>119</v>
      </c>
      <c r="E64" s="33" t="s">
        <v>65</v>
      </c>
      <c r="F64" s="23" t="s">
        <v>120</v>
      </c>
      <c r="G64" s="23" t="s">
        <v>54</v>
      </c>
      <c r="H64" s="23" t="s">
        <v>92</v>
      </c>
      <c r="I64" s="23" t="s">
        <v>56</v>
      </c>
      <c r="J64" s="24">
        <v>3</v>
      </c>
      <c r="K64" s="34">
        <f>18113000-K65</f>
        <v>15720000</v>
      </c>
      <c r="L64" s="25">
        <v>0</v>
      </c>
      <c r="M64" s="25">
        <f>5217070-M65</f>
        <v>3924250</v>
      </c>
      <c r="N64" s="26">
        <f t="shared" si="8"/>
        <v>11795750</v>
      </c>
      <c r="O64" s="26"/>
      <c r="P64" s="26"/>
      <c r="Q64" s="26"/>
      <c r="R64" s="26">
        <f t="shared" si="9"/>
        <v>11795750</v>
      </c>
      <c r="S64" s="35">
        <v>7719401.4500000002</v>
      </c>
      <c r="T64" s="28">
        <f t="shared" si="10"/>
        <v>0.65442226649428825</v>
      </c>
      <c r="U64" s="29">
        <v>449423.63</v>
      </c>
      <c r="V64" s="28">
        <f t="shared" si="11"/>
        <v>3.8100470932327324E-2</v>
      </c>
      <c r="W64" s="25">
        <v>449423.63</v>
      </c>
      <c r="X64" s="28">
        <f t="shared" si="12"/>
        <v>3.8100470932327324E-2</v>
      </c>
      <c r="Y64" s="5"/>
      <c r="Z64" s="5"/>
      <c r="AA64" s="5"/>
    </row>
    <row r="65" spans="1:27" ht="67.5" customHeight="1">
      <c r="A65" s="22" t="s">
        <v>87</v>
      </c>
      <c r="B65" s="23" t="s">
        <v>88</v>
      </c>
      <c r="C65" s="23" t="s">
        <v>118</v>
      </c>
      <c r="D65" s="23" t="s">
        <v>119</v>
      </c>
      <c r="E65" s="33" t="s">
        <v>65</v>
      </c>
      <c r="F65" s="23" t="s">
        <v>120</v>
      </c>
      <c r="G65" s="23" t="s">
        <v>54</v>
      </c>
      <c r="H65" s="23" t="s">
        <v>92</v>
      </c>
      <c r="I65" s="23" t="s">
        <v>56</v>
      </c>
      <c r="J65" s="44">
        <v>4</v>
      </c>
      <c r="K65" s="34">
        <v>2393000</v>
      </c>
      <c r="L65" s="25">
        <v>0</v>
      </c>
      <c r="M65" s="25">
        <v>1292820</v>
      </c>
      <c r="N65" s="26">
        <f t="shared" si="8"/>
        <v>1100180</v>
      </c>
      <c r="O65" s="26"/>
      <c r="P65" s="26"/>
      <c r="Q65" s="26"/>
      <c r="R65" s="26">
        <f t="shared" si="9"/>
        <v>1100180</v>
      </c>
      <c r="S65" s="35">
        <v>0</v>
      </c>
      <c r="T65" s="28">
        <f t="shared" si="10"/>
        <v>0</v>
      </c>
      <c r="U65" s="46">
        <v>0</v>
      </c>
      <c r="V65" s="28">
        <f t="shared" si="11"/>
        <v>0</v>
      </c>
      <c r="W65" s="25">
        <v>0</v>
      </c>
      <c r="X65" s="28">
        <f t="shared" si="12"/>
        <v>0</v>
      </c>
      <c r="Y65" s="5"/>
      <c r="Z65" s="5"/>
      <c r="AA65" s="5"/>
    </row>
    <row r="66" spans="1:27" ht="63" hidden="1" customHeight="1">
      <c r="A66" s="22" t="s">
        <v>87</v>
      </c>
      <c r="B66" s="23" t="s">
        <v>88</v>
      </c>
      <c r="C66" s="23" t="s">
        <v>118</v>
      </c>
      <c r="D66" s="23" t="s">
        <v>119</v>
      </c>
      <c r="E66" s="33" t="s">
        <v>65</v>
      </c>
      <c r="F66" s="23" t="s">
        <v>120</v>
      </c>
      <c r="G66" s="23" t="s">
        <v>54</v>
      </c>
      <c r="H66" s="23" t="s">
        <v>94</v>
      </c>
      <c r="I66" s="23" t="s">
        <v>56</v>
      </c>
      <c r="J66" s="24">
        <v>3</v>
      </c>
      <c r="K66" s="34"/>
      <c r="L66" s="25"/>
      <c r="M66" s="25"/>
      <c r="N66" s="26">
        <f t="shared" si="8"/>
        <v>0</v>
      </c>
      <c r="O66" s="26"/>
      <c r="P66" s="26"/>
      <c r="Q66" s="26"/>
      <c r="R66" s="26">
        <f t="shared" si="9"/>
        <v>0</v>
      </c>
      <c r="S66" s="35"/>
      <c r="T66" s="28">
        <f t="shared" si="10"/>
        <v>0</v>
      </c>
      <c r="U66" s="29"/>
      <c r="V66" s="28">
        <f t="shared" si="11"/>
        <v>0</v>
      </c>
      <c r="W66" s="25"/>
      <c r="X66" s="28">
        <f t="shared" si="12"/>
        <v>0</v>
      </c>
      <c r="Y66" s="5"/>
      <c r="Z66" s="5"/>
      <c r="AA66" s="5"/>
    </row>
    <row r="67" spans="1:27" ht="63" hidden="1" customHeight="1">
      <c r="A67" s="22" t="s">
        <v>87</v>
      </c>
      <c r="B67" s="23" t="s">
        <v>88</v>
      </c>
      <c r="C67" s="23" t="s">
        <v>118</v>
      </c>
      <c r="D67" s="23" t="s">
        <v>119</v>
      </c>
      <c r="E67" s="33" t="s">
        <v>65</v>
      </c>
      <c r="F67" s="23" t="s">
        <v>120</v>
      </c>
      <c r="G67" s="23" t="s">
        <v>54</v>
      </c>
      <c r="H67" s="23" t="s">
        <v>94</v>
      </c>
      <c r="I67" s="23" t="s">
        <v>56</v>
      </c>
      <c r="J67" s="44">
        <v>4</v>
      </c>
      <c r="K67" s="34"/>
      <c r="L67" s="25"/>
      <c r="M67" s="25"/>
      <c r="N67" s="26">
        <f t="shared" si="8"/>
        <v>0</v>
      </c>
      <c r="O67" s="26"/>
      <c r="P67" s="26"/>
      <c r="Q67" s="26"/>
      <c r="R67" s="26">
        <f t="shared" si="9"/>
        <v>0</v>
      </c>
      <c r="S67" s="35"/>
      <c r="T67" s="28">
        <f t="shared" si="10"/>
        <v>0</v>
      </c>
      <c r="U67" s="46"/>
      <c r="V67" s="28">
        <f t="shared" si="11"/>
        <v>0</v>
      </c>
      <c r="W67" s="25"/>
      <c r="X67" s="28">
        <f t="shared" si="12"/>
        <v>0</v>
      </c>
      <c r="Y67" s="5"/>
      <c r="Z67" s="5"/>
      <c r="AA67" s="5"/>
    </row>
    <row r="68" spans="1:27" ht="63" customHeight="1">
      <c r="A68" s="22" t="s">
        <v>87</v>
      </c>
      <c r="B68" s="23" t="s">
        <v>88</v>
      </c>
      <c r="C68" s="23" t="s">
        <v>118</v>
      </c>
      <c r="D68" s="23" t="s">
        <v>121</v>
      </c>
      <c r="E68" s="33" t="s">
        <v>65</v>
      </c>
      <c r="F68" s="23" t="s">
        <v>122</v>
      </c>
      <c r="G68" s="23" t="s">
        <v>54</v>
      </c>
      <c r="H68" s="23" t="s">
        <v>92</v>
      </c>
      <c r="I68" s="23" t="s">
        <v>56</v>
      </c>
      <c r="J68" s="24">
        <v>3</v>
      </c>
      <c r="K68" s="34">
        <f>5300000-K69</f>
        <v>4400000</v>
      </c>
      <c r="L68" s="25">
        <f>2374500-L69</f>
        <v>1342500</v>
      </c>
      <c r="M68" s="25">
        <v>0</v>
      </c>
      <c r="N68" s="26">
        <f t="shared" si="8"/>
        <v>5742500</v>
      </c>
      <c r="O68" s="26"/>
      <c r="P68" s="26"/>
      <c r="Q68" s="26"/>
      <c r="R68" s="26">
        <f t="shared" si="9"/>
        <v>5742500</v>
      </c>
      <c r="S68" s="35">
        <f>2271995.69-S69</f>
        <v>2239995.69</v>
      </c>
      <c r="T68" s="28">
        <f t="shared" si="10"/>
        <v>0.39007325903352197</v>
      </c>
      <c r="U68" s="29">
        <f>205087.92</f>
        <v>205087.92</v>
      </c>
      <c r="V68" s="28">
        <f t="shared" si="11"/>
        <v>3.5714047888550288E-2</v>
      </c>
      <c r="W68" s="25">
        <v>205087.92</v>
      </c>
      <c r="X68" s="28">
        <f t="shared" si="12"/>
        <v>3.5714047888550288E-2</v>
      </c>
      <c r="Y68" s="5"/>
      <c r="Z68" s="5"/>
      <c r="AA68" s="5"/>
    </row>
    <row r="69" spans="1:27" ht="63" customHeight="1">
      <c r="A69" s="22" t="s">
        <v>87</v>
      </c>
      <c r="B69" s="23" t="s">
        <v>88</v>
      </c>
      <c r="C69" s="23" t="s">
        <v>118</v>
      </c>
      <c r="D69" s="23" t="s">
        <v>121</v>
      </c>
      <c r="E69" s="33" t="s">
        <v>65</v>
      </c>
      <c r="F69" s="23" t="s">
        <v>122</v>
      </c>
      <c r="G69" s="23" t="s">
        <v>54</v>
      </c>
      <c r="H69" s="23" t="s">
        <v>92</v>
      </c>
      <c r="I69" s="23" t="s">
        <v>56</v>
      </c>
      <c r="J69" s="44">
        <v>4</v>
      </c>
      <c r="K69" s="34">
        <v>900000</v>
      </c>
      <c r="L69" s="25">
        <f>1032000</f>
        <v>1032000</v>
      </c>
      <c r="M69" s="25">
        <v>698800</v>
      </c>
      <c r="N69" s="26">
        <f t="shared" si="8"/>
        <v>1233200</v>
      </c>
      <c r="O69" s="26"/>
      <c r="P69" s="26"/>
      <c r="Q69" s="26"/>
      <c r="R69" s="26">
        <f t="shared" si="9"/>
        <v>1233200</v>
      </c>
      <c r="S69" s="35">
        <f>32000</f>
        <v>32000</v>
      </c>
      <c r="T69" s="28">
        <f t="shared" si="10"/>
        <v>2.5948751216347713E-2</v>
      </c>
      <c r="U69" s="46">
        <v>0</v>
      </c>
      <c r="V69" s="28">
        <f t="shared" si="11"/>
        <v>0</v>
      </c>
      <c r="W69" s="25">
        <v>0</v>
      </c>
      <c r="X69" s="28">
        <f t="shared" si="12"/>
        <v>0</v>
      </c>
      <c r="Y69" s="5"/>
      <c r="Z69" s="5"/>
      <c r="AA69" s="5"/>
    </row>
    <row r="70" spans="1:27" ht="63" hidden="1" customHeight="1">
      <c r="A70" s="22" t="s">
        <v>87</v>
      </c>
      <c r="B70" s="23" t="s">
        <v>88</v>
      </c>
      <c r="C70" s="23" t="s">
        <v>118</v>
      </c>
      <c r="D70" s="23" t="s">
        <v>121</v>
      </c>
      <c r="E70" s="33" t="s">
        <v>65</v>
      </c>
      <c r="F70" s="23" t="s">
        <v>122</v>
      </c>
      <c r="G70" s="23" t="s">
        <v>54</v>
      </c>
      <c r="H70" s="23" t="s">
        <v>94</v>
      </c>
      <c r="I70" s="23" t="s">
        <v>56</v>
      </c>
      <c r="J70" s="44">
        <v>4</v>
      </c>
      <c r="K70" s="34"/>
      <c r="L70" s="25"/>
      <c r="M70" s="25"/>
      <c r="N70" s="26">
        <f t="shared" si="8"/>
        <v>0</v>
      </c>
      <c r="O70" s="26"/>
      <c r="P70" s="26"/>
      <c r="Q70" s="26"/>
      <c r="R70" s="26">
        <f t="shared" si="9"/>
        <v>0</v>
      </c>
      <c r="S70" s="35"/>
      <c r="T70" s="28">
        <f t="shared" si="10"/>
        <v>0</v>
      </c>
      <c r="U70" s="46"/>
      <c r="V70" s="28">
        <f t="shared" si="11"/>
        <v>0</v>
      </c>
      <c r="W70" s="25"/>
      <c r="X70" s="28">
        <f t="shared" si="12"/>
        <v>0</v>
      </c>
      <c r="Y70" s="5"/>
      <c r="Z70" s="5"/>
      <c r="AA70" s="5"/>
    </row>
    <row r="71" spans="1:27" ht="63" customHeight="1">
      <c r="A71" s="22" t="s">
        <v>87</v>
      </c>
      <c r="B71" s="23" t="s">
        <v>88</v>
      </c>
      <c r="C71" s="23" t="s">
        <v>76</v>
      </c>
      <c r="D71" s="23" t="s">
        <v>77</v>
      </c>
      <c r="E71" s="33" t="s">
        <v>65</v>
      </c>
      <c r="F71" s="23" t="s">
        <v>123</v>
      </c>
      <c r="G71" s="23" t="s">
        <v>54</v>
      </c>
      <c r="H71" s="23" t="s">
        <v>92</v>
      </c>
      <c r="I71" s="23" t="s">
        <v>56</v>
      </c>
      <c r="J71" s="24">
        <v>3</v>
      </c>
      <c r="K71" s="34">
        <v>0</v>
      </c>
      <c r="L71" s="25">
        <v>1350000</v>
      </c>
      <c r="M71" s="25">
        <v>0</v>
      </c>
      <c r="N71" s="26">
        <f t="shared" si="8"/>
        <v>1350000</v>
      </c>
      <c r="O71" s="26"/>
      <c r="P71" s="26"/>
      <c r="Q71" s="26"/>
      <c r="R71" s="26">
        <f t="shared" si="9"/>
        <v>1350000</v>
      </c>
      <c r="S71" s="35">
        <v>1350000</v>
      </c>
      <c r="T71" s="28">
        <f t="shared" si="10"/>
        <v>1</v>
      </c>
      <c r="U71" s="29">
        <v>0</v>
      </c>
      <c r="V71" s="28">
        <f t="shared" si="11"/>
        <v>0</v>
      </c>
      <c r="W71" s="25">
        <v>0</v>
      </c>
      <c r="X71" s="28">
        <f t="shared" si="12"/>
        <v>0</v>
      </c>
      <c r="Y71" s="5"/>
      <c r="Z71" s="5"/>
      <c r="AA71" s="5"/>
    </row>
    <row r="72" spans="1:27" ht="63" customHeight="1">
      <c r="A72" s="22" t="s">
        <v>87</v>
      </c>
      <c r="B72" s="23" t="s">
        <v>88</v>
      </c>
      <c r="C72" s="23" t="s">
        <v>76</v>
      </c>
      <c r="D72" s="23" t="s">
        <v>77</v>
      </c>
      <c r="E72" s="33" t="s">
        <v>65</v>
      </c>
      <c r="F72" s="23" t="s">
        <v>123</v>
      </c>
      <c r="G72" s="23" t="s">
        <v>54</v>
      </c>
      <c r="H72" s="23" t="s">
        <v>112</v>
      </c>
      <c r="I72" s="23" t="s">
        <v>56</v>
      </c>
      <c r="J72" s="24">
        <v>3</v>
      </c>
      <c r="K72" s="34">
        <v>300000</v>
      </c>
      <c r="L72" s="25">
        <v>0</v>
      </c>
      <c r="M72" s="25">
        <v>0</v>
      </c>
      <c r="N72" s="26">
        <f t="shared" si="8"/>
        <v>300000</v>
      </c>
      <c r="O72" s="26"/>
      <c r="P72" s="26"/>
      <c r="Q72" s="26"/>
      <c r="R72" s="26">
        <f t="shared" si="9"/>
        <v>300000</v>
      </c>
      <c r="S72" s="35">
        <v>105188</v>
      </c>
      <c r="T72" s="28">
        <f t="shared" si="10"/>
        <v>0.35062666666666664</v>
      </c>
      <c r="U72" s="29">
        <v>7020</v>
      </c>
      <c r="V72" s="28">
        <f t="shared" si="11"/>
        <v>2.3400000000000001E-2</v>
      </c>
      <c r="W72" s="25">
        <v>7020</v>
      </c>
      <c r="X72" s="28">
        <f t="shared" si="12"/>
        <v>2.3400000000000001E-2</v>
      </c>
      <c r="Y72" s="5"/>
      <c r="Z72" s="5"/>
      <c r="AA72" s="5"/>
    </row>
    <row r="73" spans="1:27" ht="15.75" customHeight="1">
      <c r="A73" s="141" t="s">
        <v>124</v>
      </c>
      <c r="B73" s="140"/>
      <c r="C73" s="140"/>
      <c r="D73" s="140"/>
      <c r="E73" s="140"/>
      <c r="F73" s="140"/>
      <c r="G73" s="140"/>
      <c r="H73" s="140"/>
      <c r="I73" s="140"/>
      <c r="J73" s="135"/>
      <c r="K73" s="39">
        <f t="shared" ref="K73:S73" si="13">SUM(K33:K72)</f>
        <v>83793000</v>
      </c>
      <c r="L73" s="39">
        <f t="shared" si="13"/>
        <v>11618740.789999999</v>
      </c>
      <c r="M73" s="39">
        <f t="shared" si="13"/>
        <v>11618740.789999999</v>
      </c>
      <c r="N73" s="39">
        <f t="shared" si="13"/>
        <v>83793000</v>
      </c>
      <c r="O73" s="39">
        <f t="shared" si="13"/>
        <v>0</v>
      </c>
      <c r="P73" s="39">
        <f t="shared" si="13"/>
        <v>0</v>
      </c>
      <c r="Q73" s="39">
        <f t="shared" si="13"/>
        <v>0</v>
      </c>
      <c r="R73" s="39">
        <f t="shared" si="13"/>
        <v>83793000</v>
      </c>
      <c r="S73" s="39">
        <f t="shared" si="13"/>
        <v>53473375.840000004</v>
      </c>
      <c r="T73" s="40">
        <f t="shared" si="10"/>
        <v>0.63816041721862216</v>
      </c>
      <c r="U73" s="39">
        <f>SUM(U33:U72)</f>
        <v>3521190.6199999996</v>
      </c>
      <c r="V73" s="40">
        <f t="shared" si="11"/>
        <v>4.2022491377561366E-2</v>
      </c>
      <c r="W73" s="39">
        <f>SUM(W33:W72)</f>
        <v>3521190.6199999996</v>
      </c>
      <c r="X73" s="40">
        <f t="shared" si="12"/>
        <v>4.2022491377561366E-2</v>
      </c>
      <c r="Y73" s="5"/>
      <c r="Z73" s="5"/>
      <c r="AA73" s="5"/>
    </row>
    <row r="74" spans="1:27" ht="15.75" customHeight="1">
      <c r="A74" s="142" t="s">
        <v>125</v>
      </c>
      <c r="B74" s="140"/>
      <c r="C74" s="140"/>
      <c r="D74" s="140"/>
      <c r="E74" s="140"/>
      <c r="F74" s="140"/>
      <c r="G74" s="140"/>
      <c r="H74" s="140"/>
      <c r="I74" s="140"/>
      <c r="J74" s="135"/>
      <c r="K74" s="57">
        <f t="shared" ref="K74:S74" si="14">SUM(K30+K73)</f>
        <v>953062000</v>
      </c>
      <c r="L74" s="57">
        <f t="shared" si="14"/>
        <v>31992717.559999999</v>
      </c>
      <c r="M74" s="57">
        <f t="shared" si="14"/>
        <v>31992717.559999999</v>
      </c>
      <c r="N74" s="57">
        <f t="shared" si="14"/>
        <v>953062000</v>
      </c>
      <c r="O74" s="57">
        <f t="shared" si="14"/>
        <v>0</v>
      </c>
      <c r="P74" s="57">
        <f t="shared" si="14"/>
        <v>0</v>
      </c>
      <c r="Q74" s="57">
        <f t="shared" si="14"/>
        <v>0</v>
      </c>
      <c r="R74" s="57">
        <f t="shared" si="14"/>
        <v>953062000</v>
      </c>
      <c r="S74" s="57">
        <f t="shared" si="14"/>
        <v>171857015.25</v>
      </c>
      <c r="T74" s="58">
        <f t="shared" si="10"/>
        <v>0.18032091852366372</v>
      </c>
      <c r="U74" s="57">
        <f>SUM(U30+U73)</f>
        <v>121726199.8</v>
      </c>
      <c r="V74" s="58">
        <f t="shared" si="11"/>
        <v>0.12772117637677297</v>
      </c>
      <c r="W74" s="57">
        <f>SUM(W30+W73)</f>
        <v>121659405.73</v>
      </c>
      <c r="X74" s="58">
        <f t="shared" si="12"/>
        <v>0.12765109272009587</v>
      </c>
      <c r="Y74" s="30"/>
      <c r="Z74" s="5"/>
      <c r="AA74" s="5"/>
    </row>
    <row r="75" spans="1:27" ht="14.25" customHeight="1">
      <c r="A75" s="59" t="s">
        <v>126</v>
      </c>
      <c r="B75" s="60"/>
      <c r="C75" s="60"/>
      <c r="D75" s="60"/>
      <c r="E75" s="60"/>
      <c r="F75" s="60"/>
      <c r="G75" s="60"/>
      <c r="H75" s="61"/>
      <c r="I75" s="61"/>
      <c r="J75" s="61"/>
      <c r="K75" s="60"/>
      <c r="L75" s="60"/>
      <c r="M75" s="62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5"/>
      <c r="Z75" s="5"/>
      <c r="AA75" s="5"/>
    </row>
    <row r="76" spans="1:27" ht="14.25" customHeight="1">
      <c r="A76" s="59" t="s">
        <v>127</v>
      </c>
      <c r="B76" s="64"/>
      <c r="C76" s="60"/>
      <c r="D76" s="60"/>
      <c r="E76" s="60"/>
      <c r="F76" s="60"/>
      <c r="G76" s="60"/>
      <c r="H76" s="61"/>
      <c r="I76" s="61"/>
      <c r="J76" s="61"/>
      <c r="K76" s="60"/>
      <c r="L76" s="60"/>
      <c r="M76" s="62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5"/>
      <c r="Z76" s="5"/>
      <c r="AA76" s="5"/>
    </row>
    <row r="77" spans="1:27" ht="14.25" customHeight="1">
      <c r="A77" s="143" t="s">
        <v>128</v>
      </c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35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5"/>
      <c r="Z77" s="5"/>
      <c r="AA77" s="5"/>
    </row>
    <row r="78" spans="1:27" ht="14.25" customHeight="1">
      <c r="A78" s="6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63"/>
      <c r="O78" s="63"/>
      <c r="P78" s="63"/>
      <c r="Q78" s="5"/>
      <c r="R78" s="5"/>
      <c r="S78" s="5"/>
      <c r="T78" s="5"/>
      <c r="U78" s="5"/>
      <c r="V78" s="5"/>
      <c r="W78" s="5"/>
      <c r="X78" s="66"/>
      <c r="Y78" s="5"/>
      <c r="Z78" s="5"/>
      <c r="AA78" s="5"/>
    </row>
    <row r="79" spans="1:27" ht="14.25" customHeight="1">
      <c r="A79" s="144"/>
      <c r="B79" s="145"/>
      <c r="C79" s="145"/>
      <c r="D79" s="145"/>
      <c r="E79" s="145"/>
      <c r="F79" s="145"/>
      <c r="G79" s="145"/>
      <c r="H79" s="146"/>
      <c r="I79" s="5"/>
      <c r="J79" s="5"/>
      <c r="K79" s="5"/>
      <c r="L79" s="5"/>
      <c r="M79" s="5"/>
      <c r="N79" s="63"/>
      <c r="O79" s="63"/>
      <c r="P79" s="63"/>
      <c r="Q79" s="5"/>
      <c r="R79" s="5"/>
      <c r="S79" s="5"/>
      <c r="T79" s="5"/>
      <c r="U79" s="5"/>
      <c r="V79" s="5"/>
      <c r="W79" s="5"/>
      <c r="X79" s="66"/>
      <c r="Y79" s="5"/>
      <c r="Z79" s="5"/>
      <c r="AA79" s="5"/>
    </row>
    <row r="80" spans="1:27" ht="14.25" customHeight="1">
      <c r="A80" s="147"/>
      <c r="B80" s="133"/>
      <c r="C80" s="133"/>
      <c r="D80" s="133"/>
      <c r="E80" s="133"/>
      <c r="F80" s="133"/>
      <c r="G80" s="133"/>
      <c r="H80" s="148"/>
      <c r="I80" s="3"/>
      <c r="J80" s="3"/>
      <c r="K80" s="67"/>
      <c r="L80" s="67"/>
      <c r="M80" s="67"/>
      <c r="N80" s="67"/>
      <c r="O80" s="67"/>
      <c r="P80" s="67"/>
      <c r="Q80" s="5"/>
      <c r="R80" s="5"/>
      <c r="S80" s="5"/>
      <c r="T80" s="5"/>
      <c r="U80" s="5"/>
      <c r="V80" s="5"/>
      <c r="W80" s="5"/>
      <c r="X80" s="66"/>
      <c r="Y80" s="30"/>
      <c r="Z80" s="5"/>
      <c r="AA80" s="5"/>
    </row>
    <row r="81" spans="1:27" ht="14.25" customHeight="1">
      <c r="A81" s="149"/>
      <c r="B81" s="150"/>
      <c r="C81" s="150"/>
      <c r="D81" s="150"/>
      <c r="E81" s="150"/>
      <c r="F81" s="150"/>
      <c r="G81" s="150"/>
      <c r="H81" s="151"/>
      <c r="I81" s="3"/>
      <c r="J81" s="3"/>
      <c r="K81" s="67"/>
      <c r="L81" s="67"/>
      <c r="M81" s="67"/>
      <c r="N81" s="67"/>
      <c r="O81" s="67"/>
      <c r="P81" s="67"/>
      <c r="Q81" s="5"/>
      <c r="R81" s="5"/>
      <c r="S81" s="5"/>
      <c r="T81" s="5"/>
      <c r="U81" s="68"/>
      <c r="V81" s="5"/>
      <c r="W81" s="5"/>
      <c r="X81" s="66"/>
      <c r="Y81" s="30"/>
      <c r="Z81" s="5"/>
      <c r="AA81" s="5"/>
    </row>
    <row r="82" spans="1:27" ht="14.25" customHeight="1">
      <c r="A82" s="69"/>
      <c r="B82" s="69"/>
      <c r="C82" s="69"/>
      <c r="D82" s="63"/>
      <c r="E82" s="63"/>
      <c r="F82" s="63"/>
      <c r="G82" s="63"/>
      <c r="H82" s="3"/>
      <c r="I82" s="3"/>
      <c r="J82" s="3"/>
      <c r="K82" s="67"/>
      <c r="L82" s="67"/>
      <c r="M82" s="67"/>
      <c r="N82" s="67"/>
      <c r="O82" s="67"/>
      <c r="P82" s="67"/>
      <c r="Q82" s="5"/>
      <c r="R82" s="5"/>
      <c r="S82" s="5"/>
      <c r="T82" s="5"/>
      <c r="U82" s="68"/>
      <c r="V82" s="5"/>
      <c r="W82" s="5"/>
      <c r="X82" s="66"/>
      <c r="Y82" s="30"/>
      <c r="Z82" s="5"/>
      <c r="AA82" s="5"/>
    </row>
    <row r="83" spans="1:27" ht="14.25" customHeight="1">
      <c r="A83" s="69"/>
      <c r="B83" s="69"/>
      <c r="C83" s="69"/>
      <c r="D83" s="63"/>
      <c r="E83" s="63"/>
      <c r="F83" s="63"/>
      <c r="G83" s="63"/>
      <c r="H83" s="3"/>
      <c r="I83" s="3"/>
      <c r="J83" s="3"/>
      <c r="K83" s="67"/>
      <c r="L83" s="67"/>
      <c r="M83" s="67"/>
      <c r="N83" s="67"/>
      <c r="O83" s="67"/>
      <c r="P83" s="67"/>
      <c r="Q83" s="5"/>
      <c r="R83" s="5"/>
      <c r="S83" s="5"/>
      <c r="T83" s="5"/>
      <c r="U83" s="68"/>
      <c r="V83" s="5"/>
      <c r="W83" s="5"/>
      <c r="X83" s="66"/>
      <c r="Y83" s="30"/>
      <c r="Z83" s="5"/>
      <c r="AA83" s="5"/>
    </row>
    <row r="84" spans="1:27" ht="14.25" customHeight="1">
      <c r="A84" s="70"/>
      <c r="B84" s="70"/>
      <c r="C84" s="70"/>
      <c r="D84" s="70"/>
      <c r="E84" s="70"/>
      <c r="F84" s="70"/>
      <c r="G84" s="63"/>
      <c r="H84" s="3"/>
      <c r="I84" s="3"/>
      <c r="J84" s="3"/>
      <c r="K84" s="67"/>
      <c r="L84" s="63"/>
      <c r="M84" s="63"/>
      <c r="N84" s="63"/>
      <c r="O84" s="63"/>
      <c r="P84" s="63"/>
      <c r="Q84" s="5"/>
      <c r="R84" s="5"/>
      <c r="S84" s="5"/>
      <c r="T84" s="5"/>
      <c r="U84" s="68"/>
      <c r="V84" s="5"/>
      <c r="W84" s="5"/>
      <c r="X84" s="63"/>
      <c r="Y84" s="5"/>
      <c r="Z84" s="5"/>
      <c r="AA84" s="5"/>
    </row>
    <row r="85" spans="1:27" ht="14.25" customHeight="1">
      <c r="A85" s="70"/>
      <c r="B85" s="70"/>
      <c r="C85" s="70"/>
      <c r="D85" s="70"/>
      <c r="E85" s="70"/>
      <c r="F85" s="70"/>
      <c r="G85" s="63"/>
      <c r="H85" s="3"/>
      <c r="I85" s="3"/>
      <c r="J85" s="3"/>
      <c r="K85" s="67"/>
      <c r="L85" s="63"/>
      <c r="M85" s="63"/>
      <c r="N85" s="63"/>
      <c r="O85" s="63"/>
      <c r="P85" s="63"/>
      <c r="Q85" s="5"/>
      <c r="R85" s="5"/>
      <c r="S85" s="5"/>
      <c r="T85" s="5"/>
      <c r="U85" s="5"/>
      <c r="V85" s="5"/>
      <c r="W85" s="5"/>
      <c r="X85" s="63"/>
      <c r="Y85" s="5"/>
      <c r="Z85" s="5"/>
      <c r="AA85" s="5"/>
    </row>
    <row r="86" spans="1:27" ht="15.75" customHeight="1">
      <c r="A86" s="70"/>
      <c r="B86" s="70"/>
      <c r="C86" s="70"/>
      <c r="D86" s="70"/>
      <c r="E86" s="70"/>
      <c r="F86" s="70"/>
      <c r="G86" s="63"/>
      <c r="H86" s="3"/>
      <c r="I86" s="3"/>
      <c r="J86" s="3"/>
      <c r="K86" s="63"/>
      <c r="L86" s="63"/>
      <c r="M86" s="63"/>
      <c r="N86" s="63"/>
      <c r="O86" s="63"/>
      <c r="P86" s="63"/>
      <c r="Q86" s="71" t="s">
        <v>34</v>
      </c>
      <c r="R86" s="71"/>
      <c r="S86" s="72"/>
      <c r="T86" s="71" t="s">
        <v>35</v>
      </c>
      <c r="U86" s="71"/>
      <c r="V86" s="66"/>
      <c r="W86" s="73" t="s">
        <v>129</v>
      </c>
      <c r="X86" s="63"/>
      <c r="Y86" s="5"/>
      <c r="Z86" s="5"/>
      <c r="AA86" s="5"/>
    </row>
    <row r="87" spans="1:27" ht="14.25" customHeight="1">
      <c r="A87" s="70"/>
      <c r="B87" s="70"/>
      <c r="C87" s="70"/>
      <c r="D87" s="70"/>
      <c r="E87" s="70"/>
      <c r="F87" s="70"/>
      <c r="G87" s="63"/>
      <c r="H87" s="3"/>
      <c r="I87" s="3"/>
      <c r="J87" s="3"/>
      <c r="K87" s="74"/>
      <c r="L87" s="74"/>
      <c r="M87" s="74"/>
      <c r="N87" s="74"/>
      <c r="O87" s="74"/>
      <c r="P87" s="74"/>
      <c r="Q87" s="75">
        <v>1</v>
      </c>
      <c r="R87" s="76">
        <v>51155369.280000001</v>
      </c>
      <c r="S87" s="66"/>
      <c r="T87" s="77">
        <v>1</v>
      </c>
      <c r="U87" s="76">
        <f>U17+U18+U20+U21+U24+U25+U27+U28+U29</f>
        <v>99751883.829999983</v>
      </c>
      <c r="V87" s="66"/>
      <c r="W87" s="78">
        <f t="shared" ref="W87:W89" si="15">U87-R87</f>
        <v>48596514.549999982</v>
      </c>
      <c r="X87" s="63"/>
      <c r="Y87" s="68"/>
      <c r="Z87" s="5"/>
      <c r="AA87" s="5"/>
    </row>
    <row r="88" spans="1:27" ht="14.25" customHeight="1">
      <c r="A88" s="1"/>
      <c r="B88" s="79"/>
      <c r="C88" s="79"/>
      <c r="D88" s="79"/>
      <c r="E88" s="1"/>
      <c r="F88" s="1"/>
      <c r="G88" s="1"/>
      <c r="H88" s="2"/>
      <c r="I88" s="2"/>
      <c r="J88" s="3"/>
      <c r="K88" s="80"/>
      <c r="L88" s="80"/>
      <c r="M88" s="80"/>
      <c r="N88" s="80"/>
      <c r="O88" s="80"/>
      <c r="P88" s="80"/>
      <c r="Q88" s="81">
        <v>3</v>
      </c>
      <c r="R88" s="82">
        <v>9896291.6699999999</v>
      </c>
      <c r="S88" s="83"/>
      <c r="T88" s="84">
        <v>3</v>
      </c>
      <c r="U88" s="82">
        <f>U15+U16+U19+U22+U23+U26+U34+U36+U40+U43+U45+U46+U47+U53+U54+U55+U56+U58+U60+U61+U62+U63+U64+U66+U68+U71+U72</f>
        <v>21974315.969999999</v>
      </c>
      <c r="V88" s="85"/>
      <c r="W88" s="86">
        <f t="shared" si="15"/>
        <v>12078024.299999999</v>
      </c>
      <c r="X88" s="1"/>
      <c r="Y88" s="68"/>
      <c r="Z88" s="5"/>
      <c r="AA88" s="5"/>
    </row>
    <row r="89" spans="1:27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87">
        <v>4</v>
      </c>
      <c r="R89" s="88">
        <v>0</v>
      </c>
      <c r="S89" s="83"/>
      <c r="T89" s="89">
        <v>4</v>
      </c>
      <c r="U89" s="88">
        <f>U33+U35+U37+U39+U41+U42+U44+U48+U49+U50+U52+U57+U59+U65+U67+U69+U70</f>
        <v>0</v>
      </c>
      <c r="V89" s="90"/>
      <c r="W89" s="91">
        <f t="shared" si="15"/>
        <v>0</v>
      </c>
      <c r="X89" s="5"/>
      <c r="Y89" s="5"/>
      <c r="Z89" s="5"/>
      <c r="AA89" s="5"/>
    </row>
    <row r="90" spans="1:27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152" t="s">
        <v>130</v>
      </c>
      <c r="L90" s="153"/>
      <c r="M90" s="153"/>
      <c r="N90" s="154"/>
      <c r="O90" s="5"/>
      <c r="P90" s="5"/>
      <c r="Q90" s="134" t="s">
        <v>131</v>
      </c>
      <c r="R90" s="135"/>
      <c r="S90" s="63"/>
      <c r="T90" s="136" t="s">
        <v>132</v>
      </c>
      <c r="U90" s="135"/>
      <c r="V90" s="90"/>
      <c r="W90" s="85"/>
      <c r="X90" s="5"/>
      <c r="Y90" s="5"/>
      <c r="Z90" s="5"/>
      <c r="AA90" s="5"/>
    </row>
    <row r="91" spans="1:27" ht="14.25" customHeight="1">
      <c r="A91" s="5"/>
      <c r="B91" s="5"/>
      <c r="C91" s="5" t="s">
        <v>133</v>
      </c>
      <c r="D91" s="5"/>
      <c r="E91" s="5"/>
      <c r="F91" s="132" t="s">
        <v>134</v>
      </c>
      <c r="G91" s="133"/>
      <c r="H91" s="133"/>
      <c r="I91" s="133"/>
      <c r="J91" s="5"/>
      <c r="K91" s="92"/>
      <c r="L91" s="92"/>
      <c r="M91" s="92"/>
      <c r="N91" s="92"/>
      <c r="O91" s="5"/>
      <c r="P91" s="5"/>
      <c r="Q91" s="74"/>
      <c r="R91" s="74"/>
      <c r="S91" s="74"/>
      <c r="T91" s="13"/>
      <c r="U91" s="85"/>
      <c r="V91" s="90"/>
      <c r="W91" s="5"/>
      <c r="X91" s="68"/>
      <c r="Y91" s="5"/>
      <c r="Z91" s="5"/>
      <c r="AA91" s="5"/>
    </row>
    <row r="92" spans="1:27" ht="14.25" customHeight="1">
      <c r="A92" s="5"/>
      <c r="B92" s="5"/>
      <c r="C92" s="5" t="s">
        <v>135</v>
      </c>
      <c r="D92" s="5"/>
      <c r="E92" s="5"/>
      <c r="F92" s="5" t="s">
        <v>135</v>
      </c>
      <c r="G92" s="5"/>
      <c r="H92" s="5"/>
      <c r="I92" s="5"/>
      <c r="J92" s="5"/>
      <c r="K92" s="92"/>
      <c r="L92" s="92" t="s">
        <v>135</v>
      </c>
      <c r="M92" s="92"/>
      <c r="N92" s="92"/>
      <c r="O92" s="5"/>
      <c r="P92" s="5"/>
      <c r="Q92" s="80"/>
      <c r="R92" s="80"/>
      <c r="S92" s="80"/>
      <c r="T92" s="93" t="s">
        <v>136</v>
      </c>
      <c r="U92" s="94">
        <f>SUM(U87:U89)</f>
        <v>121726199.79999998</v>
      </c>
      <c r="V92" s="5"/>
      <c r="W92" s="68">
        <f>SUM(W87:W91)</f>
        <v>60674538.849999979</v>
      </c>
      <c r="X92" s="68"/>
      <c r="Y92" s="68"/>
      <c r="Z92" s="5"/>
      <c r="AA92" s="5"/>
    </row>
    <row r="93" spans="1:27" ht="14.25" customHeight="1">
      <c r="A93" s="5"/>
      <c r="B93" s="5"/>
      <c r="C93" s="5">
        <v>1</v>
      </c>
      <c r="D93" s="30">
        <f>W17+W18+W20+W21+W24+W25+W27+W28+W29</f>
        <v>99685089.75999999</v>
      </c>
      <c r="E93" s="5"/>
      <c r="F93" s="5">
        <v>1</v>
      </c>
      <c r="G93" s="30">
        <f>S17+S18+S20+S21+S24+S25+S27+S28+S29</f>
        <v>99771883.829999983</v>
      </c>
      <c r="H93" s="5"/>
      <c r="I93" s="5"/>
      <c r="J93" s="5"/>
      <c r="K93" s="95" t="s">
        <v>137</v>
      </c>
      <c r="L93" s="95">
        <v>1</v>
      </c>
      <c r="M93" s="96">
        <f>L17+L18+L20+L21+L24+L25+L27+L28+L29</f>
        <v>20373976.77</v>
      </c>
      <c r="N93" s="97">
        <f>M93-M94+Q74</f>
        <v>0</v>
      </c>
      <c r="O93" s="5"/>
      <c r="P93" s="5"/>
      <c r="Q93" s="5"/>
      <c r="R93" s="98"/>
      <c r="S93" s="5"/>
      <c r="T93" s="5"/>
      <c r="U93" s="5"/>
      <c r="V93" s="5"/>
      <c r="W93" s="5"/>
      <c r="X93" s="68"/>
      <c r="Y93" s="5"/>
      <c r="Z93" s="5"/>
      <c r="AA93" s="5"/>
    </row>
    <row r="94" spans="1:27" ht="14.25" customHeight="1">
      <c r="A94" s="5"/>
      <c r="B94" s="5"/>
      <c r="C94" s="5">
        <v>3</v>
      </c>
      <c r="D94" s="30" t="e">
        <f>W15+W16+W19+W22+W23+W26+W34+W36+W40+W43+W45+W46+W47+#REF!+W53+W54+W55+W56+W58+W60+W61+W62+W63+W64+W66+W68+W71+W72</f>
        <v>#REF!</v>
      </c>
      <c r="E94" s="5"/>
      <c r="F94" s="5">
        <v>3</v>
      </c>
      <c r="G94" s="30" t="e">
        <f>S15+S16+S19+S22+S23+S26+S34+S36+S40+S43+S45+S46+S47+#REF!+S53+S54+S55+S56+S58+S60+S61+S62+S63+S64+S66+S68+S71+S72</f>
        <v>#REF!</v>
      </c>
      <c r="H94" s="5"/>
      <c r="I94" s="5"/>
      <c r="J94" s="5"/>
      <c r="K94" s="92" t="s">
        <v>138</v>
      </c>
      <c r="L94" s="92">
        <v>1</v>
      </c>
      <c r="M94" s="99">
        <f>M17+M18+M20+M21+M24+M25+M27+M28+M29</f>
        <v>20373976.77</v>
      </c>
      <c r="N94" s="92"/>
      <c r="O94" s="5"/>
      <c r="P94" s="5"/>
      <c r="Q94" s="5"/>
      <c r="R94" s="98"/>
      <c r="S94" s="5"/>
      <c r="T94" s="5"/>
      <c r="U94" s="5"/>
      <c r="V94" s="5"/>
      <c r="W94" s="5"/>
      <c r="X94" s="68"/>
      <c r="Y94" s="68"/>
      <c r="Z94" s="5"/>
      <c r="AA94" s="5"/>
    </row>
    <row r="95" spans="1:27" ht="14.25" customHeight="1">
      <c r="A95" s="5"/>
      <c r="B95" s="5"/>
      <c r="C95" s="5">
        <v>4</v>
      </c>
      <c r="D95" s="100">
        <f>W33+W35+W37+W39+W41+W42+W44+W48+W49+W50+W57+W59+W65+W67+W69+W70</f>
        <v>0</v>
      </c>
      <c r="E95" s="5"/>
      <c r="F95" s="5">
        <v>4</v>
      </c>
      <c r="G95" s="30">
        <f>S33+S35+S37+S39+S41+S42+S44+S48+S49+S50+S57+S59+S65+S67+S69+S70</f>
        <v>3194752.11</v>
      </c>
      <c r="H95" s="5"/>
      <c r="I95" s="5"/>
      <c r="J95" s="5"/>
      <c r="K95" s="92"/>
      <c r="L95" s="92"/>
      <c r="M95" s="92"/>
      <c r="N95" s="92"/>
      <c r="O95" s="5"/>
      <c r="P95" s="5"/>
      <c r="Q95" s="5"/>
      <c r="R95" s="98"/>
      <c r="S95" s="5"/>
      <c r="T95" s="101" t="s">
        <v>139</v>
      </c>
      <c r="U95" s="102">
        <f>U15+U16+U19+U22+U23+U26</f>
        <v>18453125.349999998</v>
      </c>
      <c r="V95" s="5"/>
      <c r="W95" s="68"/>
      <c r="X95" s="68"/>
      <c r="Y95" s="5"/>
      <c r="Z95" s="5"/>
      <c r="AA95" s="5"/>
    </row>
    <row r="96" spans="1:27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92"/>
      <c r="L96" s="92"/>
      <c r="M96" s="97">
        <f>M93-M94</f>
        <v>0</v>
      </c>
      <c r="N96" s="92"/>
      <c r="O96" s="5"/>
      <c r="P96" s="5"/>
      <c r="Q96" s="5"/>
      <c r="R96" s="5"/>
      <c r="S96" s="5"/>
      <c r="T96" s="101" t="s">
        <v>140</v>
      </c>
      <c r="U96" s="102" t="e">
        <f>U40+U42+U47+U48+#REF!+U54+U56+U57+U58+U61</f>
        <v>#REF!</v>
      </c>
      <c r="V96" s="68"/>
      <c r="W96" s="68"/>
      <c r="X96" s="68"/>
      <c r="Y96" s="5"/>
      <c r="Z96" s="5"/>
      <c r="AA96" s="5"/>
    </row>
    <row r="97" spans="1:2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92"/>
      <c r="L97" s="92"/>
      <c r="M97" s="92"/>
      <c r="N97" s="92"/>
      <c r="O97" s="5"/>
      <c r="P97" s="5"/>
      <c r="Q97" s="5"/>
      <c r="R97" s="5"/>
      <c r="S97" s="5"/>
      <c r="T97" s="101" t="s">
        <v>136</v>
      </c>
      <c r="U97" s="102" t="e">
        <f>U95+U96</f>
        <v>#REF!</v>
      </c>
      <c r="V97" s="68"/>
      <c r="W97" s="68"/>
      <c r="X97" s="68"/>
      <c r="Y97" s="5"/>
      <c r="Z97" s="5"/>
      <c r="AA97" s="5"/>
    </row>
    <row r="98" spans="1:27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92"/>
      <c r="L98" s="92" t="s">
        <v>141</v>
      </c>
      <c r="M98" s="92"/>
      <c r="N98" s="92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95" t="s">
        <v>137</v>
      </c>
      <c r="L99" s="95">
        <v>3</v>
      </c>
      <c r="M99" s="96" t="e">
        <f>L15+L16+L19+L22+L23+L26+L34+L36+L40+L43+L45+L46+L47+#REF!+L53+L54+L55+L56+L58+L60+L61+L62+L63+L64+L66+L68+L71+L72</f>
        <v>#REF!</v>
      </c>
      <c r="N99" s="97" t="e">
        <f>M99-M100</f>
        <v>#REF!</v>
      </c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92" t="s">
        <v>142</v>
      </c>
      <c r="L100" s="92">
        <v>3</v>
      </c>
      <c r="M100" s="99" t="e">
        <f>M15+M16+M19+M22+M23+M26+M34+M36+M40+M43+M45+M46+M47+#REF!+M53+M54+M55+M56+M58+M60+M61+M62+M63+M64+M66+M68+M71+M72</f>
        <v>#REF!</v>
      </c>
      <c r="N100" s="92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4.25" customHeight="1">
      <c r="A101" s="5"/>
      <c r="B101" s="5"/>
      <c r="C101" s="5"/>
      <c r="D101" s="68"/>
      <c r="E101" s="5"/>
      <c r="F101" s="5"/>
      <c r="G101" s="5"/>
      <c r="H101" s="5"/>
      <c r="I101" s="5"/>
      <c r="J101" s="5"/>
      <c r="K101" s="92"/>
      <c r="L101" s="92"/>
      <c r="M101" s="92"/>
      <c r="N101" s="92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92"/>
      <c r="L102" s="92"/>
      <c r="M102" s="97" t="e">
        <f>M99-M100</f>
        <v>#REF!</v>
      </c>
      <c r="N102" s="92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92"/>
      <c r="L103" s="92"/>
      <c r="M103" s="92"/>
      <c r="N103" s="92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92"/>
      <c r="L104" s="92" t="s">
        <v>135</v>
      </c>
      <c r="M104" s="92"/>
      <c r="N104" s="92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95" t="s">
        <v>143</v>
      </c>
      <c r="L105" s="95">
        <v>4</v>
      </c>
      <c r="M105" s="96">
        <f>L33+L35+L37+L39+L41+L42+L44+L48+L49+L50+L57+L59+L65+L67+L69+L70</f>
        <v>1841434.02</v>
      </c>
      <c r="N105" s="97">
        <f>M105-M106</f>
        <v>-1323650.6599999997</v>
      </c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92" t="s">
        <v>144</v>
      </c>
      <c r="L106" s="92">
        <v>4</v>
      </c>
      <c r="M106" s="99">
        <f>M33+M35+M37+M39+M41+M42+M44+M48+M49+M50+M57+M59+M65+M67+M69+M70</f>
        <v>3165084.6799999997</v>
      </c>
      <c r="N106" s="92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92"/>
      <c r="L107" s="92"/>
      <c r="M107" s="92"/>
      <c r="N107" s="97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68">
        <f>M105-M106</f>
        <v>-1323650.6599999997</v>
      </c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68" t="e">
        <f>N93+N99+N105</f>
        <v>#REF!</v>
      </c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ht="1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ht="14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:27" ht="14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:27" ht="14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1:27" ht="14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</sheetData>
  <mergeCells count="31">
    <mergeCell ref="A1:C1"/>
    <mergeCell ref="A2:C2"/>
    <mergeCell ref="A3:E3"/>
    <mergeCell ref="A4:E4"/>
    <mergeCell ref="A6:E6"/>
    <mergeCell ref="A7:E7"/>
    <mergeCell ref="A10:X10"/>
    <mergeCell ref="K12:K13"/>
    <mergeCell ref="L12:M12"/>
    <mergeCell ref="N12:N13"/>
    <mergeCell ref="O12:O13"/>
    <mergeCell ref="P12:Q12"/>
    <mergeCell ref="R12:R13"/>
    <mergeCell ref="S12:X12"/>
    <mergeCell ref="A12:J12"/>
    <mergeCell ref="A13:B13"/>
    <mergeCell ref="C13:C14"/>
    <mergeCell ref="D13:D14"/>
    <mergeCell ref="E13:F13"/>
    <mergeCell ref="G13:G14"/>
    <mergeCell ref="H13:I13"/>
    <mergeCell ref="F91:I91"/>
    <mergeCell ref="Q90:R90"/>
    <mergeCell ref="T90:U90"/>
    <mergeCell ref="J13:J14"/>
    <mergeCell ref="A30:J30"/>
    <mergeCell ref="A73:J73"/>
    <mergeCell ref="A74:J74"/>
    <mergeCell ref="A77:M77"/>
    <mergeCell ref="A79:H81"/>
    <mergeCell ref="K90:N90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A957"/>
  <sheetViews>
    <sheetView tabSelected="1" topLeftCell="I63" zoomScale="120" zoomScaleNormal="120" workbookViewId="0">
      <selection activeCell="Q17" sqref="Q17"/>
    </sheetView>
  </sheetViews>
  <sheetFormatPr defaultColWidth="12.625" defaultRowHeight="15" customHeight="1"/>
  <cols>
    <col min="1" max="1" width="9.125" customWidth="1"/>
    <col min="2" max="2" width="11" customWidth="1"/>
    <col min="3" max="3" width="9.125" customWidth="1"/>
    <col min="4" max="4" width="14" customWidth="1"/>
    <col min="5" max="5" width="9.125" customWidth="1"/>
    <col min="6" max="6" width="11.375" customWidth="1"/>
    <col min="7" max="7" width="14" customWidth="1"/>
    <col min="8" max="8" width="13" customWidth="1"/>
    <col min="9" max="10" width="9.125" customWidth="1"/>
    <col min="11" max="11" width="13.25" customWidth="1"/>
    <col min="12" max="12" width="10.375" customWidth="1"/>
    <col min="13" max="13" width="14" customWidth="1"/>
    <col min="14" max="14" width="13.625" customWidth="1"/>
    <col min="15" max="15" width="9.75" customWidth="1"/>
    <col min="16" max="16" width="9.125" customWidth="1"/>
    <col min="17" max="17" width="10.375" customWidth="1"/>
    <col min="18" max="18" width="12.75" customWidth="1"/>
    <col min="19" max="19" width="11.75" customWidth="1"/>
    <col min="20" max="20" width="12.375" customWidth="1"/>
    <col min="21" max="21" width="13.875" customWidth="1"/>
    <col min="22" max="22" width="9.125" customWidth="1"/>
    <col min="23" max="23" width="14.625" customWidth="1"/>
    <col min="24" max="24" width="9.125" customWidth="1"/>
    <col min="25" max="25" width="13.75" customWidth="1"/>
    <col min="26" max="26" width="16.375" customWidth="1"/>
    <col min="27" max="27" width="9.125" customWidth="1"/>
  </cols>
  <sheetData>
    <row r="1" spans="1:27" ht="14.25" customHeight="1">
      <c r="A1" s="155" t="s">
        <v>0</v>
      </c>
      <c r="B1" s="140"/>
      <c r="C1" s="140"/>
      <c r="D1" s="140"/>
      <c r="E1" s="140"/>
      <c r="F1" s="135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5"/>
      <c r="W1" s="5"/>
      <c r="X1" s="5"/>
      <c r="Y1" s="5"/>
      <c r="Z1" s="5"/>
      <c r="AA1" s="5"/>
    </row>
    <row r="2" spans="1:27" ht="14.25" customHeight="1">
      <c r="A2" s="159" t="s">
        <v>1</v>
      </c>
      <c r="B2" s="145"/>
      <c r="C2" s="145"/>
      <c r="D2" s="145"/>
      <c r="E2" s="145"/>
      <c r="F2" s="146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5"/>
      <c r="W2" s="5"/>
      <c r="X2" s="5"/>
      <c r="Y2" s="5"/>
      <c r="Z2" s="5"/>
      <c r="AA2" s="5"/>
    </row>
    <row r="3" spans="1:27" ht="14.25" customHeight="1">
      <c r="A3" s="159" t="s">
        <v>2</v>
      </c>
      <c r="B3" s="145"/>
      <c r="C3" s="145"/>
      <c r="D3" s="145"/>
      <c r="E3" s="145"/>
      <c r="F3" s="146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5"/>
      <c r="W3" s="5"/>
      <c r="X3" s="5"/>
      <c r="Y3" s="5"/>
      <c r="Z3" s="5"/>
      <c r="AA3" s="5"/>
    </row>
    <row r="4" spans="1:27" ht="14.25" customHeight="1">
      <c r="A4" s="155" t="s">
        <v>145</v>
      </c>
      <c r="B4" s="140"/>
      <c r="C4" s="140"/>
      <c r="D4" s="140"/>
      <c r="E4" s="140"/>
      <c r="F4" s="135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5"/>
      <c r="W4" s="5"/>
      <c r="X4" s="5"/>
      <c r="Y4" s="5"/>
      <c r="Z4" s="5"/>
      <c r="AA4" s="5"/>
    </row>
    <row r="5" spans="1:27" ht="14.25" customHeight="1">
      <c r="A5" s="8" t="s">
        <v>4</v>
      </c>
      <c r="B5" s="8"/>
      <c r="C5" s="8"/>
      <c r="D5" s="8"/>
      <c r="E5" s="8"/>
      <c r="F5" s="8"/>
      <c r="G5" s="9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5"/>
      <c r="W5" s="5"/>
      <c r="X5" s="5"/>
      <c r="Y5" s="5"/>
      <c r="Z5" s="5"/>
      <c r="AA5" s="5"/>
    </row>
    <row r="6" spans="1:27" ht="14.25" customHeight="1">
      <c r="A6" s="155" t="s">
        <v>185</v>
      </c>
      <c r="B6" s="140"/>
      <c r="C6" s="140"/>
      <c r="D6" s="140"/>
      <c r="E6" s="140"/>
      <c r="F6" s="135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5"/>
      <c r="W6" s="5"/>
      <c r="X6" s="5"/>
      <c r="Y6" s="5"/>
      <c r="Z6" s="5"/>
      <c r="AA6" s="5"/>
    </row>
    <row r="7" spans="1:27" ht="14.25" customHeight="1">
      <c r="A7" s="155" t="s">
        <v>186</v>
      </c>
      <c r="B7" s="140"/>
      <c r="C7" s="140"/>
      <c r="D7" s="140"/>
      <c r="E7" s="140"/>
      <c r="F7" s="135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5"/>
      <c r="W7" s="5"/>
      <c r="X7" s="5"/>
      <c r="Y7" s="5"/>
      <c r="Z7" s="5"/>
      <c r="AA7" s="5"/>
    </row>
    <row r="8" spans="1:27" ht="14.25" customHeight="1">
      <c r="A8" s="160"/>
      <c r="B8" s="133"/>
      <c r="C8" s="133"/>
      <c r="D8" s="133"/>
      <c r="E8" s="133"/>
      <c r="F8" s="133"/>
      <c r="G8" s="1"/>
      <c r="H8" s="2"/>
      <c r="I8" s="2"/>
      <c r="J8" s="117"/>
      <c r="K8" s="1"/>
      <c r="L8" s="1"/>
      <c r="M8" s="1"/>
      <c r="N8" s="1"/>
      <c r="O8" s="1"/>
      <c r="P8" s="1"/>
      <c r="Q8" s="1"/>
      <c r="R8" s="1"/>
      <c r="S8" s="1"/>
      <c r="T8" s="1"/>
      <c r="U8" s="118"/>
      <c r="V8" s="5"/>
      <c r="W8" s="5"/>
      <c r="X8" s="5"/>
      <c r="Y8" s="5"/>
      <c r="Z8" s="5"/>
      <c r="AA8" s="5"/>
    </row>
    <row r="9" spans="1:27" ht="14.25" customHeight="1">
      <c r="A9" s="156" t="s">
        <v>7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5"/>
      <c r="Z9" s="5"/>
      <c r="AA9" s="5"/>
    </row>
    <row r="10" spans="1:27" ht="14.25" customHeight="1">
      <c r="A10" s="1"/>
      <c r="B10" s="1"/>
      <c r="C10" s="1"/>
      <c r="D10" s="1"/>
      <c r="E10" s="1"/>
      <c r="F10" s="1"/>
      <c r="G10" s="1"/>
      <c r="H10" s="2"/>
      <c r="I10" s="2"/>
      <c r="J10" s="12"/>
      <c r="K10" s="1"/>
      <c r="L10" s="1"/>
      <c r="M10" s="1"/>
      <c r="N10" s="1"/>
      <c r="O10" s="1"/>
      <c r="P10" s="1"/>
      <c r="Q10" s="1"/>
      <c r="R10" s="1"/>
      <c r="S10" s="1"/>
      <c r="T10" s="1"/>
      <c r="U10" s="103"/>
      <c r="V10" s="1"/>
      <c r="W10" s="13"/>
      <c r="X10" s="1"/>
      <c r="Y10" s="5"/>
      <c r="Z10" s="5"/>
      <c r="AA10" s="5"/>
    </row>
    <row r="11" spans="1:27" ht="19.5" customHeight="1">
      <c r="A11" s="158" t="s">
        <v>8</v>
      </c>
      <c r="B11" s="140"/>
      <c r="C11" s="140"/>
      <c r="D11" s="140"/>
      <c r="E11" s="140"/>
      <c r="F11" s="140"/>
      <c r="G11" s="140"/>
      <c r="H11" s="140"/>
      <c r="I11" s="140"/>
      <c r="J11" s="135"/>
      <c r="K11" s="157" t="s">
        <v>9</v>
      </c>
      <c r="L11" s="158" t="s">
        <v>10</v>
      </c>
      <c r="M11" s="135"/>
      <c r="N11" s="157" t="s">
        <v>11</v>
      </c>
      <c r="O11" s="157" t="s">
        <v>12</v>
      </c>
      <c r="P11" s="158" t="s">
        <v>13</v>
      </c>
      <c r="Q11" s="135"/>
      <c r="R11" s="157" t="s">
        <v>14</v>
      </c>
      <c r="S11" s="158" t="s">
        <v>15</v>
      </c>
      <c r="T11" s="140"/>
      <c r="U11" s="140"/>
      <c r="V11" s="140"/>
      <c r="W11" s="140"/>
      <c r="X11" s="135"/>
      <c r="Y11" s="5"/>
      <c r="Z11" s="5"/>
      <c r="AA11" s="5"/>
    </row>
    <row r="12" spans="1:27" ht="14.25" customHeight="1">
      <c r="A12" s="158" t="s">
        <v>16</v>
      </c>
      <c r="B12" s="135"/>
      <c r="C12" s="157" t="s">
        <v>17</v>
      </c>
      <c r="D12" s="157" t="s">
        <v>18</v>
      </c>
      <c r="E12" s="158" t="s">
        <v>19</v>
      </c>
      <c r="F12" s="135"/>
      <c r="G12" s="157" t="s">
        <v>20</v>
      </c>
      <c r="H12" s="158" t="s">
        <v>21</v>
      </c>
      <c r="I12" s="135"/>
      <c r="J12" s="137" t="s">
        <v>22</v>
      </c>
      <c r="K12" s="138"/>
      <c r="L12" s="14" t="s">
        <v>23</v>
      </c>
      <c r="M12" s="14" t="s">
        <v>24</v>
      </c>
      <c r="N12" s="138"/>
      <c r="O12" s="138"/>
      <c r="P12" s="15" t="s">
        <v>25</v>
      </c>
      <c r="Q12" s="15" t="s">
        <v>26</v>
      </c>
      <c r="R12" s="138"/>
      <c r="S12" s="16" t="s">
        <v>27</v>
      </c>
      <c r="T12" s="17" t="s">
        <v>28</v>
      </c>
      <c r="U12" s="16" t="s">
        <v>29</v>
      </c>
      <c r="V12" s="18" t="s">
        <v>28</v>
      </c>
      <c r="W12" s="19" t="s">
        <v>30</v>
      </c>
      <c r="X12" s="18" t="s">
        <v>28</v>
      </c>
      <c r="Y12" s="5"/>
      <c r="Z12" s="5"/>
      <c r="AA12" s="5"/>
    </row>
    <row r="13" spans="1:27" ht="31.5" customHeight="1">
      <c r="A13" s="16" t="s">
        <v>31</v>
      </c>
      <c r="B13" s="16" t="s">
        <v>19</v>
      </c>
      <c r="C13" s="138"/>
      <c r="D13" s="138"/>
      <c r="E13" s="15" t="s">
        <v>32</v>
      </c>
      <c r="F13" s="15" t="s">
        <v>33</v>
      </c>
      <c r="G13" s="138"/>
      <c r="H13" s="15" t="s">
        <v>31</v>
      </c>
      <c r="I13" s="15" t="s">
        <v>19</v>
      </c>
      <c r="J13" s="138"/>
      <c r="K13" s="16" t="s">
        <v>34</v>
      </c>
      <c r="L13" s="15" t="s">
        <v>35</v>
      </c>
      <c r="M13" s="15" t="s">
        <v>36</v>
      </c>
      <c r="N13" s="15" t="s">
        <v>37</v>
      </c>
      <c r="O13" s="15" t="s">
        <v>38</v>
      </c>
      <c r="P13" s="15" t="s">
        <v>39</v>
      </c>
      <c r="Q13" s="15" t="s">
        <v>40</v>
      </c>
      <c r="R13" s="16" t="s">
        <v>41</v>
      </c>
      <c r="S13" s="20" t="s">
        <v>42</v>
      </c>
      <c r="T13" s="21" t="s">
        <v>43</v>
      </c>
      <c r="U13" s="20" t="s">
        <v>44</v>
      </c>
      <c r="V13" s="21" t="s">
        <v>45</v>
      </c>
      <c r="W13" s="19" t="s">
        <v>46</v>
      </c>
      <c r="X13" s="21" t="s">
        <v>47</v>
      </c>
      <c r="Y13" s="5"/>
      <c r="Z13" s="5"/>
      <c r="AA13" s="5"/>
    </row>
    <row r="14" spans="1:27" ht="63" customHeight="1">
      <c r="A14" s="22" t="s">
        <v>48</v>
      </c>
      <c r="B14" s="33" t="s">
        <v>49</v>
      </c>
      <c r="C14" s="33" t="s">
        <v>50</v>
      </c>
      <c r="D14" s="33" t="s">
        <v>51</v>
      </c>
      <c r="E14" s="114" t="s">
        <v>90</v>
      </c>
      <c r="F14" s="114" t="s">
        <v>169</v>
      </c>
      <c r="G14" s="33" t="s">
        <v>54</v>
      </c>
      <c r="H14" s="114" t="s">
        <v>148</v>
      </c>
      <c r="I14" s="114" t="s">
        <v>159</v>
      </c>
      <c r="J14" s="121">
        <v>3</v>
      </c>
      <c r="K14" s="109">
        <v>100000</v>
      </c>
      <c r="L14" s="105">
        <v>0</v>
      </c>
      <c r="M14" s="105">
        <v>0</v>
      </c>
      <c r="N14" s="26">
        <f t="shared" ref="N14:N26" si="0">K14+L14-M14</f>
        <v>100000</v>
      </c>
      <c r="O14" s="27"/>
      <c r="P14" s="27"/>
      <c r="Q14" s="27"/>
      <c r="R14" s="26">
        <f t="shared" ref="R14:R26" si="1">N14-O14+P14+Q14</f>
        <v>100000</v>
      </c>
      <c r="S14" s="105">
        <v>0</v>
      </c>
      <c r="T14" s="28">
        <f t="shared" ref="T14:T27" si="2">IF(R14&gt;0,S14/R14,0)</f>
        <v>0</v>
      </c>
      <c r="U14" s="111">
        <v>0</v>
      </c>
      <c r="V14" s="28">
        <f t="shared" ref="V14:V27" si="3">IF(R14&gt;0,U14/R14,0)</f>
        <v>0</v>
      </c>
      <c r="W14" s="105">
        <v>0</v>
      </c>
      <c r="X14" s="28">
        <f t="shared" ref="X14:X27" si="4">IF(R14&gt;0,W14/R14,0)</f>
        <v>0</v>
      </c>
      <c r="Y14" s="5"/>
      <c r="Z14" s="5"/>
      <c r="AA14" s="5"/>
    </row>
    <row r="15" spans="1:27" ht="63" customHeight="1">
      <c r="A15" s="22" t="s">
        <v>48</v>
      </c>
      <c r="B15" s="33" t="s">
        <v>49</v>
      </c>
      <c r="C15" s="33" t="s">
        <v>50</v>
      </c>
      <c r="D15" s="33" t="s">
        <v>57</v>
      </c>
      <c r="E15" s="114" t="s">
        <v>90</v>
      </c>
      <c r="F15" s="33" t="s">
        <v>58</v>
      </c>
      <c r="G15" s="33" t="s">
        <v>54</v>
      </c>
      <c r="H15" s="114" t="s">
        <v>148</v>
      </c>
      <c r="I15" s="114" t="s">
        <v>159</v>
      </c>
      <c r="J15" s="121">
        <v>3</v>
      </c>
      <c r="K15" s="109">
        <v>77675500</v>
      </c>
      <c r="L15" s="105">
        <v>0</v>
      </c>
      <c r="M15" s="105">
        <v>0</v>
      </c>
      <c r="N15" s="26">
        <f t="shared" si="0"/>
        <v>77675500</v>
      </c>
      <c r="O15" s="124"/>
      <c r="P15" s="27"/>
      <c r="Q15" s="27"/>
      <c r="R15" s="26">
        <f t="shared" si="1"/>
        <v>77675500</v>
      </c>
      <c r="S15" s="105">
        <v>34068585.210000001</v>
      </c>
      <c r="T15" s="28">
        <f t="shared" si="2"/>
        <v>0.4386014278633546</v>
      </c>
      <c r="U15" s="111">
        <v>34068585.210000001</v>
      </c>
      <c r="V15" s="28">
        <f t="shared" si="3"/>
        <v>0.4386014278633546</v>
      </c>
      <c r="W15" s="105">
        <v>34068585.210000001</v>
      </c>
      <c r="X15" s="28">
        <f t="shared" si="4"/>
        <v>0.4386014278633546</v>
      </c>
      <c r="Y15" s="30"/>
      <c r="Z15" s="5"/>
      <c r="AA15" s="5"/>
    </row>
    <row r="16" spans="1:27" ht="63" customHeight="1">
      <c r="A16" s="22" t="s">
        <v>48</v>
      </c>
      <c r="B16" s="33" t="s">
        <v>49</v>
      </c>
      <c r="C16" s="33" t="s">
        <v>50</v>
      </c>
      <c r="D16" s="33" t="s">
        <v>59</v>
      </c>
      <c r="E16" s="114" t="s">
        <v>90</v>
      </c>
      <c r="F16" s="33" t="s">
        <v>60</v>
      </c>
      <c r="G16" s="33" t="s">
        <v>54</v>
      </c>
      <c r="H16" s="114" t="s">
        <v>148</v>
      </c>
      <c r="I16" s="114" t="s">
        <v>159</v>
      </c>
      <c r="J16" s="31">
        <v>1</v>
      </c>
      <c r="K16" s="109">
        <v>470000000</v>
      </c>
      <c r="L16" s="105">
        <v>5198556.3600000003</v>
      </c>
      <c r="M16" s="105">
        <v>5198556.3600000003</v>
      </c>
      <c r="N16" s="26">
        <f t="shared" si="0"/>
        <v>470000000</v>
      </c>
      <c r="O16" s="27"/>
      <c r="P16" s="27"/>
      <c r="Q16" s="27"/>
      <c r="R16" s="26">
        <f t="shared" si="1"/>
        <v>470000000</v>
      </c>
      <c r="S16" s="105">
        <v>192868396.03</v>
      </c>
      <c r="T16" s="28">
        <f t="shared" si="2"/>
        <v>0.41035828942553193</v>
      </c>
      <c r="U16" s="107">
        <v>192868396.03</v>
      </c>
      <c r="V16" s="28">
        <f t="shared" si="3"/>
        <v>0.41035828942553193</v>
      </c>
      <c r="W16" s="105">
        <v>184848056.80000001</v>
      </c>
      <c r="X16" s="28">
        <f t="shared" si="4"/>
        <v>0.39329373787234045</v>
      </c>
      <c r="Y16" s="5"/>
      <c r="Z16" s="5"/>
      <c r="AA16" s="5"/>
    </row>
    <row r="17" spans="1:27" ht="63" customHeight="1">
      <c r="A17" s="22" t="s">
        <v>48</v>
      </c>
      <c r="B17" s="33" t="s">
        <v>49</v>
      </c>
      <c r="C17" s="33" t="s">
        <v>50</v>
      </c>
      <c r="D17" s="33" t="s">
        <v>64</v>
      </c>
      <c r="E17" s="33" t="s">
        <v>65</v>
      </c>
      <c r="F17" s="33" t="s">
        <v>66</v>
      </c>
      <c r="G17" s="33" t="s">
        <v>54</v>
      </c>
      <c r="H17" s="114" t="s">
        <v>148</v>
      </c>
      <c r="I17" s="114" t="s">
        <v>159</v>
      </c>
      <c r="J17" s="121">
        <v>3</v>
      </c>
      <c r="K17" s="109">
        <v>22575500</v>
      </c>
      <c r="L17" s="105">
        <v>0</v>
      </c>
      <c r="M17" s="105">
        <v>0</v>
      </c>
      <c r="N17" s="26">
        <f t="shared" si="0"/>
        <v>22575500</v>
      </c>
      <c r="O17" s="27"/>
      <c r="P17" s="27"/>
      <c r="Q17" s="27"/>
      <c r="R17" s="26">
        <f t="shared" si="1"/>
        <v>22575500</v>
      </c>
      <c r="S17" s="105">
        <v>9976069.3100000005</v>
      </c>
      <c r="T17" s="28">
        <f t="shared" si="2"/>
        <v>0.44189804478306133</v>
      </c>
      <c r="U17" s="111">
        <v>9976069.3100000005</v>
      </c>
      <c r="V17" s="28">
        <f t="shared" si="3"/>
        <v>0.44189804478306133</v>
      </c>
      <c r="W17" s="105">
        <v>9976069.3100000005</v>
      </c>
      <c r="X17" s="28">
        <f t="shared" si="4"/>
        <v>0.44189804478306133</v>
      </c>
      <c r="Y17" s="5"/>
      <c r="Z17" s="5"/>
      <c r="AA17" s="5"/>
    </row>
    <row r="18" spans="1:27" ht="63" customHeight="1">
      <c r="A18" s="22" t="s">
        <v>48</v>
      </c>
      <c r="B18" s="33" t="s">
        <v>49</v>
      </c>
      <c r="C18" s="33" t="s">
        <v>50</v>
      </c>
      <c r="D18" s="114" t="s">
        <v>113</v>
      </c>
      <c r="E18" s="33" t="s">
        <v>65</v>
      </c>
      <c r="F18" s="114" t="s">
        <v>170</v>
      </c>
      <c r="G18" s="33" t="s">
        <v>54</v>
      </c>
      <c r="H18" s="114" t="s">
        <v>148</v>
      </c>
      <c r="I18" s="114" t="s">
        <v>159</v>
      </c>
      <c r="J18" s="121">
        <v>3</v>
      </c>
      <c r="K18" s="109">
        <v>50000</v>
      </c>
      <c r="L18" s="105">
        <v>0</v>
      </c>
      <c r="M18" s="105">
        <v>0</v>
      </c>
      <c r="N18" s="26">
        <f t="shared" si="0"/>
        <v>50000</v>
      </c>
      <c r="O18" s="27"/>
      <c r="P18" s="27"/>
      <c r="Q18" s="27"/>
      <c r="R18" s="26">
        <f t="shared" si="1"/>
        <v>50000</v>
      </c>
      <c r="S18" s="105">
        <v>0</v>
      </c>
      <c r="T18" s="28">
        <f t="shared" si="2"/>
        <v>0</v>
      </c>
      <c r="U18" s="111">
        <v>0</v>
      </c>
      <c r="V18" s="28">
        <f t="shared" si="3"/>
        <v>0</v>
      </c>
      <c r="W18" s="105">
        <v>0</v>
      </c>
      <c r="X18" s="28">
        <f t="shared" si="4"/>
        <v>0</v>
      </c>
      <c r="Y18" s="5"/>
      <c r="Z18" s="5"/>
      <c r="AA18" s="5"/>
    </row>
    <row r="19" spans="1:27" ht="63" customHeight="1">
      <c r="A19" s="22" t="s">
        <v>48</v>
      </c>
      <c r="B19" s="33" t="s">
        <v>49</v>
      </c>
      <c r="C19" s="33" t="s">
        <v>50</v>
      </c>
      <c r="D19" s="33" t="s">
        <v>67</v>
      </c>
      <c r="E19" s="33" t="s">
        <v>65</v>
      </c>
      <c r="F19" s="114" t="s">
        <v>160</v>
      </c>
      <c r="G19" s="33" t="s">
        <v>54</v>
      </c>
      <c r="H19" s="114" t="s">
        <v>148</v>
      </c>
      <c r="I19" s="114" t="s">
        <v>159</v>
      </c>
      <c r="J19" s="31">
        <v>1</v>
      </c>
      <c r="K19" s="109">
        <v>123000000</v>
      </c>
      <c r="L19" s="105">
        <v>2680569.91</v>
      </c>
      <c r="M19" s="105">
        <v>2680569.91</v>
      </c>
      <c r="N19" s="26">
        <f t="shared" si="0"/>
        <v>123000000</v>
      </c>
      <c r="O19" s="27"/>
      <c r="P19" s="27"/>
      <c r="Q19" s="27"/>
      <c r="R19" s="26">
        <f t="shared" si="1"/>
        <v>123000000</v>
      </c>
      <c r="S19" s="105">
        <v>51492836.07</v>
      </c>
      <c r="T19" s="28">
        <f t="shared" si="2"/>
        <v>0.4186409436585366</v>
      </c>
      <c r="U19" s="107">
        <v>51492836.07</v>
      </c>
      <c r="V19" s="28">
        <f t="shared" si="3"/>
        <v>0.4186409436585366</v>
      </c>
      <c r="W19" s="105">
        <v>49647601.039999999</v>
      </c>
      <c r="X19" s="28">
        <f t="shared" si="4"/>
        <v>0.40363903284552843</v>
      </c>
      <c r="Y19" s="5"/>
      <c r="Z19" s="5"/>
      <c r="AA19" s="5"/>
    </row>
    <row r="20" spans="1:27" ht="63" customHeight="1">
      <c r="A20" s="22" t="s">
        <v>48</v>
      </c>
      <c r="B20" s="33" t="s">
        <v>49</v>
      </c>
      <c r="C20" s="33" t="s">
        <v>50</v>
      </c>
      <c r="D20" s="33" t="s">
        <v>69</v>
      </c>
      <c r="E20" s="33" t="s">
        <v>65</v>
      </c>
      <c r="F20" s="33" t="s">
        <v>70</v>
      </c>
      <c r="G20" s="33" t="s">
        <v>54</v>
      </c>
      <c r="H20" s="114" t="s">
        <v>148</v>
      </c>
      <c r="I20" s="114" t="s">
        <v>159</v>
      </c>
      <c r="J20" s="31">
        <v>1</v>
      </c>
      <c r="K20" s="109">
        <v>151000000</v>
      </c>
      <c r="L20" s="105">
        <v>254952.4</v>
      </c>
      <c r="M20" s="105">
        <v>254952.4</v>
      </c>
      <c r="N20" s="26">
        <f t="shared" si="0"/>
        <v>151000000</v>
      </c>
      <c r="O20" s="27"/>
      <c r="P20" s="27"/>
      <c r="Q20" s="27"/>
      <c r="R20" s="26">
        <f t="shared" si="1"/>
        <v>151000000</v>
      </c>
      <c r="S20" s="105">
        <v>62374793.520000003</v>
      </c>
      <c r="T20" s="28">
        <f t="shared" si="2"/>
        <v>0.41307810278145696</v>
      </c>
      <c r="U20" s="107">
        <v>62374793.520000003</v>
      </c>
      <c r="V20" s="28">
        <f t="shared" si="3"/>
        <v>0.41307810278145696</v>
      </c>
      <c r="W20" s="105">
        <v>60000132.810000002</v>
      </c>
      <c r="X20" s="28">
        <f t="shared" si="4"/>
        <v>0.39735187291390728</v>
      </c>
      <c r="Y20" s="5"/>
      <c r="Z20" s="5"/>
      <c r="AA20" s="5"/>
    </row>
    <row r="21" spans="1:27" ht="63" customHeight="1">
      <c r="A21" s="22" t="s">
        <v>48</v>
      </c>
      <c r="B21" s="33" t="s">
        <v>49</v>
      </c>
      <c r="C21" s="33" t="s">
        <v>50</v>
      </c>
      <c r="D21" s="33" t="s">
        <v>71</v>
      </c>
      <c r="E21" s="33" t="s">
        <v>65</v>
      </c>
      <c r="F21" s="33" t="s">
        <v>72</v>
      </c>
      <c r="G21" s="33" t="s">
        <v>54</v>
      </c>
      <c r="H21" s="114" t="s">
        <v>148</v>
      </c>
      <c r="I21" s="114" t="s">
        <v>159</v>
      </c>
      <c r="J21" s="121">
        <v>3</v>
      </c>
      <c r="K21" s="109">
        <v>25475500</v>
      </c>
      <c r="L21" s="105">
        <v>0</v>
      </c>
      <c r="M21" s="105">
        <v>0</v>
      </c>
      <c r="N21" s="26">
        <f t="shared" si="0"/>
        <v>25475500</v>
      </c>
      <c r="O21" s="27"/>
      <c r="P21" s="27"/>
      <c r="Q21" s="27"/>
      <c r="R21" s="26">
        <f t="shared" si="1"/>
        <v>25475500</v>
      </c>
      <c r="S21" s="105">
        <v>11028177.83</v>
      </c>
      <c r="T21" s="28">
        <f t="shared" si="2"/>
        <v>0.43289347922513788</v>
      </c>
      <c r="U21" s="111">
        <v>11028177.83</v>
      </c>
      <c r="V21" s="28">
        <f t="shared" si="3"/>
        <v>0.43289347922513788</v>
      </c>
      <c r="W21" s="105">
        <v>11028177.83</v>
      </c>
      <c r="X21" s="28">
        <f t="shared" si="4"/>
        <v>0.43289347922513788</v>
      </c>
      <c r="Y21" s="5"/>
      <c r="Z21" s="5"/>
      <c r="AA21" s="5"/>
    </row>
    <row r="22" spans="1:27" ht="63" customHeight="1">
      <c r="A22" s="22" t="s">
        <v>48</v>
      </c>
      <c r="B22" s="33" t="s">
        <v>49</v>
      </c>
      <c r="C22" s="33" t="s">
        <v>76</v>
      </c>
      <c r="D22" s="33" t="s">
        <v>77</v>
      </c>
      <c r="E22" s="33" t="s">
        <v>65</v>
      </c>
      <c r="F22" s="33" t="s">
        <v>78</v>
      </c>
      <c r="G22" s="33" t="s">
        <v>54</v>
      </c>
      <c r="H22" s="114" t="s">
        <v>148</v>
      </c>
      <c r="I22" s="114" t="s">
        <v>159</v>
      </c>
      <c r="J22" s="31">
        <v>1</v>
      </c>
      <c r="K22" s="108">
        <v>300000</v>
      </c>
      <c r="L22" s="105">
        <v>0</v>
      </c>
      <c r="M22" s="105">
        <v>0</v>
      </c>
      <c r="N22" s="26">
        <f t="shared" si="0"/>
        <v>300000</v>
      </c>
      <c r="O22" s="26"/>
      <c r="P22" s="26"/>
      <c r="Q22" s="26"/>
      <c r="R22" s="26">
        <f t="shared" si="1"/>
        <v>300000</v>
      </c>
      <c r="S22" s="109">
        <v>124405</v>
      </c>
      <c r="T22" s="28">
        <f t="shared" si="2"/>
        <v>0.41468333333333335</v>
      </c>
      <c r="U22" s="107">
        <v>124405</v>
      </c>
      <c r="V22" s="28">
        <f t="shared" si="3"/>
        <v>0.41468333333333335</v>
      </c>
      <c r="W22" s="105">
        <v>124405</v>
      </c>
      <c r="X22" s="28">
        <f t="shared" si="4"/>
        <v>0.41468333333333335</v>
      </c>
      <c r="Y22" s="5"/>
      <c r="Z22" s="5"/>
      <c r="AA22" s="5"/>
    </row>
    <row r="23" spans="1:27" ht="63" customHeight="1">
      <c r="A23" s="120" t="s">
        <v>48</v>
      </c>
      <c r="B23" s="114" t="s">
        <v>49</v>
      </c>
      <c r="C23" s="114" t="s">
        <v>76</v>
      </c>
      <c r="D23" s="114" t="s">
        <v>61</v>
      </c>
      <c r="E23" s="33" t="s">
        <v>65</v>
      </c>
      <c r="F23" s="114" t="s">
        <v>171</v>
      </c>
      <c r="G23" s="114" t="s">
        <v>54</v>
      </c>
      <c r="H23" s="114" t="s">
        <v>148</v>
      </c>
      <c r="I23" s="114" t="s">
        <v>159</v>
      </c>
      <c r="J23" s="127">
        <v>1</v>
      </c>
      <c r="K23" s="108">
        <v>300000</v>
      </c>
      <c r="L23" s="105">
        <v>0</v>
      </c>
      <c r="M23" s="105">
        <v>0</v>
      </c>
      <c r="N23" s="26">
        <f t="shared" si="0"/>
        <v>300000</v>
      </c>
      <c r="O23" s="26"/>
      <c r="P23" s="26"/>
      <c r="Q23" s="26"/>
      <c r="R23" s="26">
        <f t="shared" si="1"/>
        <v>300000</v>
      </c>
      <c r="S23" s="109">
        <v>97550</v>
      </c>
      <c r="T23" s="28">
        <f t="shared" si="2"/>
        <v>0.32516666666666666</v>
      </c>
      <c r="U23" s="107">
        <v>97550</v>
      </c>
      <c r="V23" s="28">
        <f t="shared" si="3"/>
        <v>0.32516666666666666</v>
      </c>
      <c r="W23" s="105">
        <v>97550</v>
      </c>
      <c r="X23" s="28">
        <f t="shared" si="4"/>
        <v>0.32516666666666666</v>
      </c>
      <c r="Y23" s="5"/>
      <c r="Z23" s="5"/>
      <c r="AA23" s="5"/>
    </row>
    <row r="24" spans="1:27" ht="63" customHeight="1">
      <c r="A24" s="22" t="s">
        <v>48</v>
      </c>
      <c r="B24" s="33" t="s">
        <v>49</v>
      </c>
      <c r="C24" s="33" t="s">
        <v>79</v>
      </c>
      <c r="D24" s="33" t="s">
        <v>80</v>
      </c>
      <c r="E24" s="114" t="s">
        <v>161</v>
      </c>
      <c r="F24" s="33" t="s">
        <v>81</v>
      </c>
      <c r="G24" s="114" t="s">
        <v>162</v>
      </c>
      <c r="H24" s="114" t="s">
        <v>148</v>
      </c>
      <c r="I24" s="114" t="s">
        <v>159</v>
      </c>
      <c r="J24" s="31">
        <v>1</v>
      </c>
      <c r="K24" s="109">
        <f>153539737-K25</f>
        <v>147464237</v>
      </c>
      <c r="L24" s="105">
        <v>18844918.780000001</v>
      </c>
      <c r="M24" s="105">
        <v>18844918.780000001</v>
      </c>
      <c r="N24" s="26">
        <f t="shared" si="0"/>
        <v>147464237</v>
      </c>
      <c r="O24" s="26"/>
      <c r="P24" s="26"/>
      <c r="Q24" s="26">
        <f>-6696883.75-15274481.85</f>
        <v>-21971365.600000001</v>
      </c>
      <c r="R24" s="26">
        <f t="shared" si="1"/>
        <v>125492871.40000001</v>
      </c>
      <c r="S24" s="105">
        <f>33975516.43-S25</f>
        <v>31357190.710000001</v>
      </c>
      <c r="T24" s="28">
        <f t="shared" si="2"/>
        <v>0.24987228645084616</v>
      </c>
      <c r="U24" s="107">
        <f>33975516.43-U25</f>
        <v>31357190.710000001</v>
      </c>
      <c r="V24" s="28">
        <f t="shared" si="3"/>
        <v>0.24987228645084616</v>
      </c>
      <c r="W24" s="105">
        <f>33874264.28-W25</f>
        <v>31255938.560000002</v>
      </c>
      <c r="X24" s="28">
        <f t="shared" si="4"/>
        <v>0.24906545058144236</v>
      </c>
      <c r="Y24" s="5"/>
      <c r="Z24" s="5"/>
      <c r="AA24" s="5"/>
    </row>
    <row r="25" spans="1:27" ht="63" customHeight="1">
      <c r="A25" s="22" t="s">
        <v>48</v>
      </c>
      <c r="B25" s="33" t="s">
        <v>49</v>
      </c>
      <c r="C25" s="33" t="s">
        <v>79</v>
      </c>
      <c r="D25" s="33" t="s">
        <v>80</v>
      </c>
      <c r="E25" s="114" t="s">
        <v>161</v>
      </c>
      <c r="F25" s="33" t="s">
        <v>81</v>
      </c>
      <c r="G25" s="114" t="s">
        <v>162</v>
      </c>
      <c r="H25" s="114" t="s">
        <v>148</v>
      </c>
      <c r="I25" s="114" t="s">
        <v>159</v>
      </c>
      <c r="J25" s="121">
        <v>3</v>
      </c>
      <c r="K25" s="109">
        <f>6075500</f>
        <v>6075500</v>
      </c>
      <c r="L25" s="105">
        <v>0</v>
      </c>
      <c r="M25" s="105">
        <v>0</v>
      </c>
      <c r="N25" s="26">
        <f t="shared" si="0"/>
        <v>6075500</v>
      </c>
      <c r="O25" s="26"/>
      <c r="P25" s="26"/>
      <c r="Q25" s="119"/>
      <c r="R25" s="26">
        <f t="shared" si="1"/>
        <v>6075500</v>
      </c>
      <c r="S25" s="105">
        <f>47721.31+91160.37+2479444.04</f>
        <v>2618325.7200000002</v>
      </c>
      <c r="T25" s="28">
        <f t="shared" si="2"/>
        <v>0.43096464817710478</v>
      </c>
      <c r="U25" s="111">
        <f>47721.31+91160.37+2479444.04</f>
        <v>2618325.7200000002</v>
      </c>
      <c r="V25" s="28">
        <f t="shared" si="3"/>
        <v>0.43096464817710478</v>
      </c>
      <c r="W25" s="105">
        <f>47721.31+91160.37+2479444.04</f>
        <v>2618325.7200000002</v>
      </c>
      <c r="X25" s="28">
        <f t="shared" si="4"/>
        <v>0.43096464817710478</v>
      </c>
      <c r="Y25" s="5"/>
      <c r="Z25" s="5"/>
      <c r="AA25" s="5"/>
    </row>
    <row r="26" spans="1:27" ht="63" customHeight="1">
      <c r="A26" s="22" t="s">
        <v>48</v>
      </c>
      <c r="B26" s="23" t="s">
        <v>49</v>
      </c>
      <c r="C26" s="23" t="s">
        <v>83</v>
      </c>
      <c r="D26" s="23" t="s">
        <v>84</v>
      </c>
      <c r="E26" s="104" t="s">
        <v>163</v>
      </c>
      <c r="F26" s="23" t="s">
        <v>85</v>
      </c>
      <c r="G26" s="23" t="s">
        <v>54</v>
      </c>
      <c r="H26" s="104" t="s">
        <v>148</v>
      </c>
      <c r="I26" s="114" t="s">
        <v>159</v>
      </c>
      <c r="J26" s="31">
        <v>1</v>
      </c>
      <c r="K26" s="105">
        <v>152763</v>
      </c>
      <c r="L26" s="105">
        <v>0</v>
      </c>
      <c r="M26" s="105">
        <v>0</v>
      </c>
      <c r="N26" s="26">
        <f t="shared" si="0"/>
        <v>152763</v>
      </c>
      <c r="O26" s="26"/>
      <c r="P26" s="26"/>
      <c r="Q26" s="26"/>
      <c r="R26" s="26">
        <f t="shared" si="1"/>
        <v>152763</v>
      </c>
      <c r="S26" s="105">
        <v>58555.32</v>
      </c>
      <c r="T26" s="28">
        <f t="shared" si="2"/>
        <v>0.38330826181732486</v>
      </c>
      <c r="U26" s="107">
        <v>58555.32</v>
      </c>
      <c r="V26" s="28">
        <f t="shared" si="3"/>
        <v>0.38330826181732486</v>
      </c>
      <c r="W26" s="105">
        <v>58555.32</v>
      </c>
      <c r="X26" s="28">
        <f t="shared" si="4"/>
        <v>0.38330826181732486</v>
      </c>
      <c r="Y26" s="5"/>
      <c r="Z26" s="5"/>
      <c r="AA26" s="5"/>
    </row>
    <row r="27" spans="1:27" ht="16.5" customHeight="1">
      <c r="A27" s="139" t="s">
        <v>86</v>
      </c>
      <c r="B27" s="140"/>
      <c r="C27" s="140"/>
      <c r="D27" s="140"/>
      <c r="E27" s="140"/>
      <c r="F27" s="140"/>
      <c r="G27" s="140"/>
      <c r="H27" s="140"/>
      <c r="I27" s="140"/>
      <c r="J27" s="135"/>
      <c r="K27" s="39">
        <f t="shared" ref="K27:S27" si="5">SUM(K14:K26)</f>
        <v>1024169000</v>
      </c>
      <c r="L27" s="39">
        <f t="shared" si="5"/>
        <v>26978997.450000003</v>
      </c>
      <c r="M27" s="39">
        <f t="shared" si="5"/>
        <v>26978997.450000003</v>
      </c>
      <c r="N27" s="39">
        <f t="shared" si="5"/>
        <v>1024169000</v>
      </c>
      <c r="O27" s="39">
        <f t="shared" si="5"/>
        <v>0</v>
      </c>
      <c r="P27" s="39">
        <f t="shared" si="5"/>
        <v>0</v>
      </c>
      <c r="Q27" s="39">
        <f t="shared" si="5"/>
        <v>-21971365.600000001</v>
      </c>
      <c r="R27" s="39">
        <f t="shared" si="5"/>
        <v>1002197634.4</v>
      </c>
      <c r="S27" s="39">
        <f t="shared" si="5"/>
        <v>396064884.71999997</v>
      </c>
      <c r="T27" s="40">
        <f t="shared" si="2"/>
        <v>0.39519638754397762</v>
      </c>
      <c r="U27" s="39">
        <f>SUM(U14:U26)</f>
        <v>396064884.71999997</v>
      </c>
      <c r="V27" s="40">
        <f t="shared" si="3"/>
        <v>0.39519638754397762</v>
      </c>
      <c r="W27" s="39">
        <f>SUM(W14:W26)</f>
        <v>383723397.60000002</v>
      </c>
      <c r="X27" s="40">
        <f t="shared" si="4"/>
        <v>0.38288196302691258</v>
      </c>
      <c r="Y27" s="5"/>
      <c r="Z27" s="5"/>
      <c r="AA27" s="5"/>
    </row>
    <row r="28" spans="1:27" ht="1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39"/>
      <c r="L28" s="39"/>
      <c r="M28" s="39"/>
      <c r="N28" s="39"/>
      <c r="O28" s="39"/>
      <c r="P28" s="39"/>
      <c r="Q28" s="39"/>
      <c r="R28" s="39"/>
      <c r="S28" s="39"/>
      <c r="T28" s="40"/>
      <c r="U28" s="39"/>
      <c r="V28" s="40"/>
      <c r="W28" s="39"/>
      <c r="X28" s="40"/>
      <c r="Y28" s="5"/>
      <c r="Z28" s="5"/>
      <c r="AA28" s="5"/>
    </row>
    <row r="29" spans="1:27" ht="15" customHeight="1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3"/>
      <c r="L29" s="43"/>
      <c r="M29" s="43"/>
      <c r="N29" s="43"/>
      <c r="O29" s="43"/>
      <c r="P29" s="43"/>
      <c r="Q29" s="43"/>
      <c r="R29" s="43"/>
      <c r="S29" s="43"/>
      <c r="T29" s="38"/>
      <c r="U29" s="43"/>
      <c r="V29" s="38"/>
      <c r="W29" s="43"/>
      <c r="X29" s="38"/>
      <c r="Y29" s="5"/>
      <c r="Z29" s="5"/>
      <c r="AA29" s="5"/>
    </row>
    <row r="30" spans="1:27" ht="54" customHeight="1">
      <c r="A30" s="120" t="s">
        <v>87</v>
      </c>
      <c r="B30" s="33" t="s">
        <v>88</v>
      </c>
      <c r="C30" s="114" t="s">
        <v>50</v>
      </c>
      <c r="D30" s="114" t="s">
        <v>98</v>
      </c>
      <c r="E30" s="33" t="s">
        <v>90</v>
      </c>
      <c r="F30" s="114" t="s">
        <v>172</v>
      </c>
      <c r="G30" s="114" t="s">
        <v>54</v>
      </c>
      <c r="H30" s="114" t="s">
        <v>150</v>
      </c>
      <c r="I30" s="114" t="s">
        <v>164</v>
      </c>
      <c r="J30" s="123">
        <v>4</v>
      </c>
      <c r="K30" s="108">
        <v>43418381</v>
      </c>
      <c r="L30" s="105">
        <v>0</v>
      </c>
      <c r="M30" s="105">
        <v>41588313.460000001</v>
      </c>
      <c r="N30" s="26">
        <f t="shared" ref="N30:N66" si="6">K30+L30-M30</f>
        <v>1830067.5399999991</v>
      </c>
      <c r="O30" s="27"/>
      <c r="P30" s="27"/>
      <c r="Q30" s="27"/>
      <c r="R30" s="26">
        <f t="shared" ref="R30:R66" si="7">N30-O30+P30+Q30</f>
        <v>1830067.5399999991</v>
      </c>
      <c r="S30" s="110">
        <v>0</v>
      </c>
      <c r="T30" s="28">
        <f t="shared" ref="T30:T68" si="8">IF(R30&gt;0,S30/R30,0)</f>
        <v>0</v>
      </c>
      <c r="U30" s="113">
        <v>0</v>
      </c>
      <c r="V30" s="28">
        <f t="shared" ref="V30:V68" si="9">IF(R30&gt;0,U30/R30,0)</f>
        <v>0</v>
      </c>
      <c r="W30" s="105">
        <v>0</v>
      </c>
      <c r="X30" s="28">
        <f t="shared" ref="X30:X68" si="10">IF(R30&gt;0,W30/R30,0)</f>
        <v>0</v>
      </c>
      <c r="Y30" s="5"/>
      <c r="Z30" s="5"/>
      <c r="AA30" s="5"/>
    </row>
    <row r="31" spans="1:27" ht="54" customHeight="1">
      <c r="A31" s="120" t="s">
        <v>87</v>
      </c>
      <c r="B31" s="33" t="s">
        <v>88</v>
      </c>
      <c r="C31" s="114" t="s">
        <v>50</v>
      </c>
      <c r="D31" s="114" t="s">
        <v>168</v>
      </c>
      <c r="E31" s="33" t="s">
        <v>90</v>
      </c>
      <c r="F31" s="114" t="s">
        <v>172</v>
      </c>
      <c r="G31" s="114" t="s">
        <v>54</v>
      </c>
      <c r="H31" s="114" t="s">
        <v>150</v>
      </c>
      <c r="I31" s="114" t="s">
        <v>164</v>
      </c>
      <c r="J31" s="123">
        <v>4</v>
      </c>
      <c r="K31" s="108">
        <v>0</v>
      </c>
      <c r="L31" s="105">
        <v>3430512.54</v>
      </c>
      <c r="M31" s="105">
        <v>0</v>
      </c>
      <c r="N31" s="26">
        <f t="shared" si="6"/>
        <v>3430512.54</v>
      </c>
      <c r="O31" s="27"/>
      <c r="P31" s="27"/>
      <c r="Q31" s="27"/>
      <c r="R31" s="26">
        <f t="shared" si="7"/>
        <v>3430512.54</v>
      </c>
      <c r="S31" s="110">
        <v>3430512.54</v>
      </c>
      <c r="T31" s="28">
        <f t="shared" si="8"/>
        <v>1</v>
      </c>
      <c r="U31" s="113">
        <v>524272.82</v>
      </c>
      <c r="V31" s="28">
        <f t="shared" si="9"/>
        <v>0.15282638203094864</v>
      </c>
      <c r="W31" s="105">
        <v>524272.82</v>
      </c>
      <c r="X31" s="28">
        <f t="shared" si="10"/>
        <v>0.15282638203094864</v>
      </c>
      <c r="Y31" s="5"/>
      <c r="Z31" s="5"/>
      <c r="AA31" s="5"/>
    </row>
    <row r="32" spans="1:27" ht="54" customHeight="1">
      <c r="A32" s="120" t="s">
        <v>87</v>
      </c>
      <c r="B32" s="33" t="s">
        <v>88</v>
      </c>
      <c r="C32" s="114" t="s">
        <v>50</v>
      </c>
      <c r="D32" s="114" t="s">
        <v>183</v>
      </c>
      <c r="E32" s="33" t="s">
        <v>90</v>
      </c>
      <c r="F32" s="114" t="s">
        <v>172</v>
      </c>
      <c r="G32" s="114" t="s">
        <v>54</v>
      </c>
      <c r="H32" s="114" t="s">
        <v>150</v>
      </c>
      <c r="I32" s="114" t="s">
        <v>164</v>
      </c>
      <c r="J32" s="123">
        <v>4</v>
      </c>
      <c r="K32" s="108">
        <v>0</v>
      </c>
      <c r="L32" s="105">
        <v>2127920.88</v>
      </c>
      <c r="M32" s="105">
        <v>0</v>
      </c>
      <c r="N32" s="26">
        <f t="shared" si="6"/>
        <v>2127920.88</v>
      </c>
      <c r="O32" s="27"/>
      <c r="P32" s="27"/>
      <c r="Q32" s="27"/>
      <c r="R32" s="26">
        <f t="shared" si="7"/>
        <v>2127920.88</v>
      </c>
      <c r="S32" s="110">
        <v>0</v>
      </c>
      <c r="T32" s="28">
        <f t="shared" si="8"/>
        <v>0</v>
      </c>
      <c r="U32" s="113">
        <v>0</v>
      </c>
      <c r="V32" s="28">
        <f t="shared" si="9"/>
        <v>0</v>
      </c>
      <c r="W32" s="105">
        <v>0</v>
      </c>
      <c r="X32" s="28">
        <f t="shared" si="10"/>
        <v>0</v>
      </c>
      <c r="Y32" s="5"/>
      <c r="Z32" s="5"/>
      <c r="AA32" s="5"/>
    </row>
    <row r="33" spans="1:27" ht="54" customHeight="1">
      <c r="A33" s="120" t="s">
        <v>87</v>
      </c>
      <c r="B33" s="33" t="s">
        <v>88</v>
      </c>
      <c r="C33" s="114" t="s">
        <v>50</v>
      </c>
      <c r="D33" s="114" t="s">
        <v>152</v>
      </c>
      <c r="E33" s="33" t="s">
        <v>90</v>
      </c>
      <c r="F33" s="114" t="s">
        <v>172</v>
      </c>
      <c r="G33" s="114" t="s">
        <v>54</v>
      </c>
      <c r="H33" s="114" t="s">
        <v>150</v>
      </c>
      <c r="I33" s="114" t="s">
        <v>164</v>
      </c>
      <c r="J33" s="123">
        <v>4</v>
      </c>
      <c r="K33" s="108">
        <v>0</v>
      </c>
      <c r="L33" s="105">
        <v>36029880.039999999</v>
      </c>
      <c r="M33" s="105">
        <v>0</v>
      </c>
      <c r="N33" s="26">
        <f t="shared" si="6"/>
        <v>36029880.039999999</v>
      </c>
      <c r="O33" s="27"/>
      <c r="P33" s="27"/>
      <c r="Q33" s="27"/>
      <c r="R33" s="26">
        <f t="shared" si="7"/>
        <v>36029880.039999999</v>
      </c>
      <c r="S33" s="110">
        <v>36029880.039999999</v>
      </c>
      <c r="T33" s="28">
        <f t="shared" si="8"/>
        <v>1</v>
      </c>
      <c r="U33" s="113">
        <v>2156088.7200000002</v>
      </c>
      <c r="V33" s="28">
        <f t="shared" si="9"/>
        <v>5.9841684668567666E-2</v>
      </c>
      <c r="W33" s="105">
        <v>2156088.7200000002</v>
      </c>
      <c r="X33" s="28">
        <f t="shared" si="10"/>
        <v>5.9841684668567666E-2</v>
      </c>
      <c r="Y33" s="5"/>
      <c r="Z33" s="5"/>
      <c r="AA33" s="5"/>
    </row>
    <row r="34" spans="1:27" ht="54" customHeight="1">
      <c r="A34" s="120" t="s">
        <v>87</v>
      </c>
      <c r="B34" s="33" t="s">
        <v>88</v>
      </c>
      <c r="C34" s="114" t="s">
        <v>50</v>
      </c>
      <c r="D34" s="114" t="s">
        <v>152</v>
      </c>
      <c r="E34" s="33" t="s">
        <v>90</v>
      </c>
      <c r="F34" s="114" t="s">
        <v>172</v>
      </c>
      <c r="G34" s="114" t="s">
        <v>54</v>
      </c>
      <c r="H34" s="114" t="s">
        <v>165</v>
      </c>
      <c r="I34" s="114" t="s">
        <v>164</v>
      </c>
      <c r="J34" s="123">
        <v>4</v>
      </c>
      <c r="K34" s="108">
        <v>0</v>
      </c>
      <c r="L34" s="105">
        <v>152500</v>
      </c>
      <c r="M34" s="105">
        <v>0</v>
      </c>
      <c r="N34" s="26">
        <f t="shared" si="6"/>
        <v>152500</v>
      </c>
      <c r="O34" s="27"/>
      <c r="P34" s="27"/>
      <c r="Q34" s="27"/>
      <c r="R34" s="26">
        <f t="shared" si="7"/>
        <v>152500</v>
      </c>
      <c r="S34" s="110">
        <v>152500</v>
      </c>
      <c r="T34" s="28">
        <f t="shared" si="8"/>
        <v>1</v>
      </c>
      <c r="U34" s="113">
        <v>152500</v>
      </c>
      <c r="V34" s="28">
        <f t="shared" si="9"/>
        <v>1</v>
      </c>
      <c r="W34" s="105">
        <v>152500</v>
      </c>
      <c r="X34" s="28">
        <f t="shared" si="10"/>
        <v>1</v>
      </c>
      <c r="Y34" s="5"/>
      <c r="Z34" s="5"/>
      <c r="AA34" s="5"/>
    </row>
    <row r="35" spans="1:27" ht="54" customHeight="1">
      <c r="A35" s="120" t="s">
        <v>87</v>
      </c>
      <c r="B35" s="33" t="s">
        <v>88</v>
      </c>
      <c r="C35" s="114" t="s">
        <v>50</v>
      </c>
      <c r="D35" s="114" t="s">
        <v>100</v>
      </c>
      <c r="E35" s="33" t="s">
        <v>90</v>
      </c>
      <c r="F35" s="114" t="s">
        <v>173</v>
      </c>
      <c r="G35" s="114" t="s">
        <v>54</v>
      </c>
      <c r="H35" s="114" t="s">
        <v>150</v>
      </c>
      <c r="I35" s="114" t="s">
        <v>164</v>
      </c>
      <c r="J35" s="123">
        <v>4</v>
      </c>
      <c r="K35" s="108">
        <v>100000</v>
      </c>
      <c r="L35" s="105">
        <v>0</v>
      </c>
      <c r="M35" s="105">
        <v>0</v>
      </c>
      <c r="N35" s="26">
        <f t="shared" si="6"/>
        <v>100000</v>
      </c>
      <c r="O35" s="27"/>
      <c r="P35" s="27"/>
      <c r="Q35" s="27"/>
      <c r="R35" s="26">
        <f t="shared" si="7"/>
        <v>100000</v>
      </c>
      <c r="S35" s="110">
        <v>68940</v>
      </c>
      <c r="T35" s="28">
        <f t="shared" si="8"/>
        <v>0.68940000000000001</v>
      </c>
      <c r="U35" s="113">
        <v>0</v>
      </c>
      <c r="V35" s="28">
        <f t="shared" si="9"/>
        <v>0</v>
      </c>
      <c r="W35" s="105">
        <v>0</v>
      </c>
      <c r="X35" s="28">
        <f t="shared" si="10"/>
        <v>0</v>
      </c>
      <c r="Y35" s="5"/>
      <c r="Z35" s="5"/>
      <c r="AA35" s="5"/>
    </row>
    <row r="36" spans="1:27" ht="54" customHeight="1">
      <c r="A36" s="22" t="s">
        <v>87</v>
      </c>
      <c r="B36" s="33" t="s">
        <v>88</v>
      </c>
      <c r="C36" s="33" t="s">
        <v>50</v>
      </c>
      <c r="D36" s="33" t="s">
        <v>51</v>
      </c>
      <c r="E36" s="33" t="s">
        <v>90</v>
      </c>
      <c r="F36" s="114" t="s">
        <v>174</v>
      </c>
      <c r="G36" s="33" t="s">
        <v>54</v>
      </c>
      <c r="H36" s="114" t="s">
        <v>150</v>
      </c>
      <c r="I36" s="114" t="s">
        <v>164</v>
      </c>
      <c r="J36" s="121">
        <v>3</v>
      </c>
      <c r="K36" s="34">
        <f>61151090-K37</f>
        <v>60651090</v>
      </c>
      <c r="L36" s="105">
        <v>1492238.93</v>
      </c>
      <c r="M36" s="105">
        <v>1822038.93</v>
      </c>
      <c r="N36" s="26">
        <f t="shared" si="6"/>
        <v>60321290</v>
      </c>
      <c r="O36" s="26"/>
      <c r="P36" s="26"/>
      <c r="Q36" s="26"/>
      <c r="R36" s="26">
        <f t="shared" si="7"/>
        <v>60321290</v>
      </c>
      <c r="S36" s="34">
        <f>49104787.87-S37</f>
        <v>48611560.479999997</v>
      </c>
      <c r="T36" s="28">
        <f t="shared" si="8"/>
        <v>0.80587733584610011</v>
      </c>
      <c r="U36" s="111">
        <f>19678316.4-U37</f>
        <v>19299364.91</v>
      </c>
      <c r="V36" s="28">
        <f t="shared" si="9"/>
        <v>0.31994284124228778</v>
      </c>
      <c r="W36" s="105">
        <f>19423404.71-W37</f>
        <v>19044453.220000003</v>
      </c>
      <c r="X36" s="28">
        <f t="shared" si="10"/>
        <v>0.31571694206141815</v>
      </c>
      <c r="Y36" s="5"/>
      <c r="Z36" s="5"/>
      <c r="AA36" s="5"/>
    </row>
    <row r="37" spans="1:27" ht="54" customHeight="1">
      <c r="A37" s="22" t="s">
        <v>87</v>
      </c>
      <c r="B37" s="33" t="s">
        <v>88</v>
      </c>
      <c r="C37" s="33" t="s">
        <v>50</v>
      </c>
      <c r="D37" s="33" t="s">
        <v>51</v>
      </c>
      <c r="E37" s="33" t="s">
        <v>90</v>
      </c>
      <c r="F37" s="33" t="s">
        <v>102</v>
      </c>
      <c r="G37" s="33" t="s">
        <v>54</v>
      </c>
      <c r="H37" s="114" t="s">
        <v>150</v>
      </c>
      <c r="I37" s="114" t="s">
        <v>164</v>
      </c>
      <c r="J37" s="44">
        <v>4</v>
      </c>
      <c r="K37" s="108">
        <f>500000</f>
        <v>500000</v>
      </c>
      <c r="L37" s="105">
        <v>0</v>
      </c>
      <c r="M37" s="105">
        <v>0</v>
      </c>
      <c r="N37" s="26">
        <f t="shared" si="6"/>
        <v>500000</v>
      </c>
      <c r="O37" s="26"/>
      <c r="P37" s="26"/>
      <c r="Q37" s="26"/>
      <c r="R37" s="26">
        <f t="shared" si="7"/>
        <v>500000</v>
      </c>
      <c r="S37" s="105">
        <f>99765.9+28304.26+230634+134523.23</f>
        <v>493227.39</v>
      </c>
      <c r="T37" s="28">
        <f t="shared" si="8"/>
        <v>0.98645477999999998</v>
      </c>
      <c r="U37" s="113">
        <f>88696+19124.5+230634+40496.99</f>
        <v>378951.49</v>
      </c>
      <c r="V37" s="28">
        <f t="shared" si="9"/>
        <v>0.75790298</v>
      </c>
      <c r="W37" s="105">
        <f>88696+19124.5+230634+40496.99</f>
        <v>378951.49</v>
      </c>
      <c r="X37" s="28">
        <f t="shared" si="10"/>
        <v>0.75790298</v>
      </c>
      <c r="Y37" s="5"/>
      <c r="Z37" s="5"/>
      <c r="AA37" s="5"/>
    </row>
    <row r="38" spans="1:27" ht="54" customHeight="1">
      <c r="A38" s="120" t="s">
        <v>87</v>
      </c>
      <c r="B38" s="33" t="s">
        <v>88</v>
      </c>
      <c r="C38" s="114" t="s">
        <v>50</v>
      </c>
      <c r="D38" s="114" t="s">
        <v>51</v>
      </c>
      <c r="E38" s="33" t="s">
        <v>90</v>
      </c>
      <c r="F38" s="114" t="s">
        <v>174</v>
      </c>
      <c r="G38" s="114" t="s">
        <v>54</v>
      </c>
      <c r="H38" s="114" t="s">
        <v>165</v>
      </c>
      <c r="I38" s="114" t="s">
        <v>164</v>
      </c>
      <c r="J38" s="125">
        <v>3</v>
      </c>
      <c r="K38" s="108">
        <v>0</v>
      </c>
      <c r="L38" s="109">
        <f>14143685.5-L39</f>
        <v>13944143.5</v>
      </c>
      <c r="M38" s="109">
        <v>0</v>
      </c>
      <c r="N38" s="26">
        <f t="shared" si="6"/>
        <v>13944143.5</v>
      </c>
      <c r="O38" s="36"/>
      <c r="P38" s="36"/>
      <c r="Q38" s="36"/>
      <c r="R38" s="26">
        <f t="shared" si="7"/>
        <v>13944143.5</v>
      </c>
      <c r="S38" s="109">
        <v>4325305</v>
      </c>
      <c r="T38" s="28">
        <f t="shared" si="8"/>
        <v>0.31018792943431772</v>
      </c>
      <c r="U38" s="111">
        <v>8800</v>
      </c>
      <c r="V38" s="28">
        <f t="shared" si="9"/>
        <v>6.3108931717462602E-4</v>
      </c>
      <c r="W38" s="109">
        <v>8800</v>
      </c>
      <c r="X38" s="28">
        <f t="shared" si="10"/>
        <v>6.3108931717462602E-4</v>
      </c>
      <c r="Y38" s="5"/>
      <c r="Z38" s="5"/>
      <c r="AA38" s="5"/>
    </row>
    <row r="39" spans="1:27" ht="54" customHeight="1">
      <c r="A39" s="120" t="s">
        <v>87</v>
      </c>
      <c r="B39" s="33" t="s">
        <v>88</v>
      </c>
      <c r="C39" s="114" t="s">
        <v>50</v>
      </c>
      <c r="D39" s="114" t="s">
        <v>51</v>
      </c>
      <c r="E39" s="33" t="s">
        <v>90</v>
      </c>
      <c r="F39" s="114" t="s">
        <v>174</v>
      </c>
      <c r="G39" s="114" t="s">
        <v>54</v>
      </c>
      <c r="H39" s="114" t="s">
        <v>165</v>
      </c>
      <c r="I39" s="114" t="s">
        <v>164</v>
      </c>
      <c r="J39" s="123">
        <v>4</v>
      </c>
      <c r="K39" s="108">
        <v>0</v>
      </c>
      <c r="L39" s="109">
        <f>199542</f>
        <v>199542</v>
      </c>
      <c r="M39" s="109">
        <v>0</v>
      </c>
      <c r="N39" s="26">
        <f t="shared" si="6"/>
        <v>199542</v>
      </c>
      <c r="O39" s="36"/>
      <c r="P39" s="36"/>
      <c r="Q39" s="36"/>
      <c r="R39" s="26">
        <f t="shared" si="7"/>
        <v>199542</v>
      </c>
      <c r="S39" s="109">
        <v>0</v>
      </c>
      <c r="T39" s="28">
        <f t="shared" si="8"/>
        <v>0</v>
      </c>
      <c r="U39" s="113">
        <v>0</v>
      </c>
      <c r="V39" s="28">
        <f t="shared" si="9"/>
        <v>0</v>
      </c>
      <c r="W39" s="109">
        <v>0</v>
      </c>
      <c r="X39" s="28">
        <f t="shared" si="10"/>
        <v>0</v>
      </c>
      <c r="Y39" s="5"/>
      <c r="Z39" s="5"/>
      <c r="AA39" s="5"/>
    </row>
    <row r="40" spans="1:27" ht="54" customHeight="1">
      <c r="A40" s="22" t="s">
        <v>87</v>
      </c>
      <c r="B40" s="33" t="s">
        <v>88</v>
      </c>
      <c r="C40" s="33" t="s">
        <v>50</v>
      </c>
      <c r="D40" s="33" t="s">
        <v>57</v>
      </c>
      <c r="E40" s="33" t="s">
        <v>90</v>
      </c>
      <c r="F40" s="33" t="s">
        <v>103</v>
      </c>
      <c r="G40" s="33" t="s">
        <v>54</v>
      </c>
      <c r="H40" s="114" t="s">
        <v>150</v>
      </c>
      <c r="I40" s="114" t="s">
        <v>164</v>
      </c>
      <c r="J40" s="121">
        <v>3</v>
      </c>
      <c r="K40" s="108">
        <v>100000</v>
      </c>
      <c r="L40" s="109">
        <v>0</v>
      </c>
      <c r="M40" s="109">
        <v>0</v>
      </c>
      <c r="N40" s="36">
        <f t="shared" si="6"/>
        <v>100000</v>
      </c>
      <c r="O40" s="36"/>
      <c r="P40" s="36"/>
      <c r="Q40" s="36"/>
      <c r="R40" s="36">
        <f t="shared" si="7"/>
        <v>100000</v>
      </c>
      <c r="S40" s="109">
        <v>0</v>
      </c>
      <c r="T40" s="38">
        <f t="shared" si="8"/>
        <v>0</v>
      </c>
      <c r="U40" s="111">
        <v>0</v>
      </c>
      <c r="V40" s="38">
        <f t="shared" si="9"/>
        <v>0</v>
      </c>
      <c r="W40" s="109">
        <v>0</v>
      </c>
      <c r="X40" s="38">
        <f t="shared" si="10"/>
        <v>0</v>
      </c>
      <c r="Y40" s="5"/>
      <c r="Z40" s="5"/>
      <c r="AA40" s="5"/>
    </row>
    <row r="41" spans="1:27" ht="52.5" customHeight="1">
      <c r="A41" s="120" t="s">
        <v>87</v>
      </c>
      <c r="B41" s="33" t="s">
        <v>88</v>
      </c>
      <c r="C41" s="114" t="s">
        <v>50</v>
      </c>
      <c r="D41" s="114" t="s">
        <v>57</v>
      </c>
      <c r="E41" s="33" t="s">
        <v>90</v>
      </c>
      <c r="F41" s="33" t="s">
        <v>103</v>
      </c>
      <c r="G41" s="114" t="s">
        <v>54</v>
      </c>
      <c r="H41" s="114" t="s">
        <v>165</v>
      </c>
      <c r="I41" s="114" t="s">
        <v>164</v>
      </c>
      <c r="J41" s="121">
        <v>3</v>
      </c>
      <c r="K41" s="108">
        <v>0</v>
      </c>
      <c r="L41" s="109">
        <v>6250000</v>
      </c>
      <c r="M41" s="109">
        <v>0</v>
      </c>
      <c r="N41" s="36">
        <f t="shared" si="6"/>
        <v>6250000</v>
      </c>
      <c r="O41" s="36"/>
      <c r="P41" s="36"/>
      <c r="Q41" s="36"/>
      <c r="R41" s="36">
        <f t="shared" si="7"/>
        <v>6250000</v>
      </c>
      <c r="S41" s="110">
        <v>3838689.76</v>
      </c>
      <c r="T41" s="38">
        <f t="shared" si="8"/>
        <v>0.61419036159999996</v>
      </c>
      <c r="U41" s="111">
        <v>2829302.75</v>
      </c>
      <c r="V41" s="38">
        <f t="shared" si="9"/>
        <v>0.45268844000000003</v>
      </c>
      <c r="W41" s="109">
        <v>2829302.75</v>
      </c>
      <c r="X41" s="38">
        <f t="shared" si="10"/>
        <v>0.45268844000000003</v>
      </c>
      <c r="Y41" s="5"/>
      <c r="Z41" s="5"/>
      <c r="AA41" s="5"/>
    </row>
    <row r="42" spans="1:27" ht="63">
      <c r="A42" s="22" t="s">
        <v>87</v>
      </c>
      <c r="B42" s="33" t="s">
        <v>88</v>
      </c>
      <c r="C42" s="33" t="s">
        <v>50</v>
      </c>
      <c r="D42" s="33" t="s">
        <v>105</v>
      </c>
      <c r="E42" s="33" t="s">
        <v>65</v>
      </c>
      <c r="F42" s="114" t="s">
        <v>175</v>
      </c>
      <c r="G42" s="33" t="s">
        <v>54</v>
      </c>
      <c r="H42" s="114" t="s">
        <v>150</v>
      </c>
      <c r="I42" s="114" t="s">
        <v>164</v>
      </c>
      <c r="J42" s="44">
        <v>4</v>
      </c>
      <c r="K42" s="108">
        <v>17334789</v>
      </c>
      <c r="L42" s="109">
        <v>0</v>
      </c>
      <c r="M42" s="109">
        <v>17334789</v>
      </c>
      <c r="N42" s="36">
        <f t="shared" si="6"/>
        <v>0</v>
      </c>
      <c r="O42" s="36"/>
      <c r="P42" s="36"/>
      <c r="Q42" s="36"/>
      <c r="R42" s="36">
        <f t="shared" si="7"/>
        <v>0</v>
      </c>
      <c r="S42" s="110">
        <v>0</v>
      </c>
      <c r="T42" s="38">
        <f t="shared" si="8"/>
        <v>0</v>
      </c>
      <c r="U42" s="113">
        <v>0</v>
      </c>
      <c r="V42" s="38">
        <f t="shared" si="9"/>
        <v>0</v>
      </c>
      <c r="W42" s="109">
        <v>0</v>
      </c>
      <c r="X42" s="38">
        <f t="shared" si="10"/>
        <v>0</v>
      </c>
      <c r="Y42" s="5"/>
      <c r="Z42" s="5"/>
      <c r="AA42" s="5"/>
    </row>
    <row r="43" spans="1:27" ht="63">
      <c r="A43" s="120" t="s">
        <v>87</v>
      </c>
      <c r="B43" s="33" t="s">
        <v>88</v>
      </c>
      <c r="C43" s="114" t="s">
        <v>50</v>
      </c>
      <c r="D43" s="114" t="s">
        <v>158</v>
      </c>
      <c r="E43" s="33" t="s">
        <v>65</v>
      </c>
      <c r="F43" s="114" t="s">
        <v>175</v>
      </c>
      <c r="G43" s="114" t="s">
        <v>54</v>
      </c>
      <c r="H43" s="114" t="s">
        <v>150</v>
      </c>
      <c r="I43" s="114" t="s">
        <v>164</v>
      </c>
      <c r="J43" s="123">
        <v>4</v>
      </c>
      <c r="K43" s="108">
        <v>0</v>
      </c>
      <c r="L43" s="109">
        <v>17334789</v>
      </c>
      <c r="M43" s="109">
        <v>0</v>
      </c>
      <c r="N43" s="36">
        <f t="shared" si="6"/>
        <v>17334789</v>
      </c>
      <c r="O43" s="36"/>
      <c r="P43" s="36"/>
      <c r="Q43" s="36"/>
      <c r="R43" s="36">
        <f t="shared" si="7"/>
        <v>17334789</v>
      </c>
      <c r="S43" s="110">
        <v>17334789</v>
      </c>
      <c r="T43" s="38">
        <f t="shared" si="8"/>
        <v>1</v>
      </c>
      <c r="U43" s="113">
        <v>2739135.26</v>
      </c>
      <c r="V43" s="38">
        <f t="shared" si="9"/>
        <v>0.15801376411330995</v>
      </c>
      <c r="W43" s="109">
        <v>2739135.26</v>
      </c>
      <c r="X43" s="38">
        <f t="shared" si="10"/>
        <v>0.15801376411330995</v>
      </c>
      <c r="Y43" s="5"/>
      <c r="Z43" s="5"/>
      <c r="AA43" s="5"/>
    </row>
    <row r="44" spans="1:27" ht="65.25" customHeight="1">
      <c r="A44" s="120" t="s">
        <v>87</v>
      </c>
      <c r="B44" s="33" t="s">
        <v>88</v>
      </c>
      <c r="C44" s="114" t="s">
        <v>50</v>
      </c>
      <c r="D44" s="114" t="s">
        <v>158</v>
      </c>
      <c r="E44" s="33" t="s">
        <v>65</v>
      </c>
      <c r="F44" s="114" t="s">
        <v>175</v>
      </c>
      <c r="G44" s="114" t="s">
        <v>54</v>
      </c>
      <c r="H44" s="114" t="s">
        <v>165</v>
      </c>
      <c r="I44" s="114" t="s">
        <v>164</v>
      </c>
      <c r="J44" s="128">
        <v>3</v>
      </c>
      <c r="K44" s="108">
        <v>0</v>
      </c>
      <c r="L44" s="109">
        <v>39223.199999999997</v>
      </c>
      <c r="M44" s="109">
        <v>0</v>
      </c>
      <c r="N44" s="36">
        <f t="shared" si="6"/>
        <v>39223.199999999997</v>
      </c>
      <c r="O44" s="36"/>
      <c r="P44" s="36"/>
      <c r="Q44" s="36"/>
      <c r="R44" s="36">
        <f t="shared" si="7"/>
        <v>39223.199999999997</v>
      </c>
      <c r="S44" s="110">
        <v>39223.199999999997</v>
      </c>
      <c r="T44" s="38">
        <f t="shared" si="8"/>
        <v>1</v>
      </c>
      <c r="U44" s="130">
        <v>0</v>
      </c>
      <c r="V44" s="38">
        <f t="shared" si="9"/>
        <v>0</v>
      </c>
      <c r="W44" s="109">
        <v>0</v>
      </c>
      <c r="X44" s="38">
        <f t="shared" si="10"/>
        <v>0</v>
      </c>
      <c r="Y44" s="5"/>
      <c r="Z44" s="5"/>
      <c r="AA44" s="5"/>
    </row>
    <row r="45" spans="1:27" ht="65.25" customHeight="1">
      <c r="A45" s="120" t="s">
        <v>87</v>
      </c>
      <c r="B45" s="33" t="s">
        <v>88</v>
      </c>
      <c r="C45" s="114" t="s">
        <v>50</v>
      </c>
      <c r="D45" s="114" t="s">
        <v>158</v>
      </c>
      <c r="E45" s="33" t="s">
        <v>65</v>
      </c>
      <c r="F45" s="114" t="s">
        <v>175</v>
      </c>
      <c r="G45" s="114" t="s">
        <v>54</v>
      </c>
      <c r="H45" s="114" t="s">
        <v>165</v>
      </c>
      <c r="I45" s="114" t="s">
        <v>164</v>
      </c>
      <c r="J45" s="123">
        <v>4</v>
      </c>
      <c r="K45" s="108">
        <v>0</v>
      </c>
      <c r="L45" s="109">
        <v>521578.5</v>
      </c>
      <c r="M45" s="109">
        <v>0</v>
      </c>
      <c r="N45" s="36">
        <f t="shared" si="6"/>
        <v>521578.5</v>
      </c>
      <c r="O45" s="36"/>
      <c r="P45" s="36"/>
      <c r="Q45" s="36"/>
      <c r="R45" s="36">
        <f t="shared" si="7"/>
        <v>521578.5</v>
      </c>
      <c r="S45" s="110">
        <v>0</v>
      </c>
      <c r="T45" s="38">
        <f t="shared" si="8"/>
        <v>0</v>
      </c>
      <c r="U45" s="131">
        <v>0</v>
      </c>
      <c r="V45" s="38">
        <f t="shared" si="9"/>
        <v>0</v>
      </c>
      <c r="W45" s="109">
        <v>0</v>
      </c>
      <c r="X45" s="38">
        <f t="shared" si="10"/>
        <v>0</v>
      </c>
      <c r="Y45" s="5"/>
      <c r="Z45" s="5"/>
      <c r="AA45" s="5"/>
    </row>
    <row r="46" spans="1:27" ht="63">
      <c r="A46" s="22" t="s">
        <v>87</v>
      </c>
      <c r="B46" s="33" t="s">
        <v>88</v>
      </c>
      <c r="C46" s="33" t="s">
        <v>50</v>
      </c>
      <c r="D46" s="114" t="s">
        <v>107</v>
      </c>
      <c r="E46" s="33" t="s">
        <v>65</v>
      </c>
      <c r="F46" s="114" t="s">
        <v>176</v>
      </c>
      <c r="G46" s="33" t="s">
        <v>54</v>
      </c>
      <c r="H46" s="114" t="s">
        <v>150</v>
      </c>
      <c r="I46" s="114" t="s">
        <v>164</v>
      </c>
      <c r="J46" s="123">
        <v>4</v>
      </c>
      <c r="K46" s="108">
        <v>50000</v>
      </c>
      <c r="L46" s="109">
        <v>0</v>
      </c>
      <c r="M46" s="109">
        <v>0</v>
      </c>
      <c r="N46" s="36">
        <f t="shared" si="6"/>
        <v>50000</v>
      </c>
      <c r="O46" s="36"/>
      <c r="P46" s="36"/>
      <c r="Q46" s="36"/>
      <c r="R46" s="36">
        <f t="shared" si="7"/>
        <v>50000</v>
      </c>
      <c r="S46" s="110">
        <v>0</v>
      </c>
      <c r="T46" s="38">
        <f t="shared" si="8"/>
        <v>0</v>
      </c>
      <c r="U46" s="113">
        <v>0</v>
      </c>
      <c r="V46" s="38">
        <f t="shared" si="9"/>
        <v>0</v>
      </c>
      <c r="W46" s="109">
        <v>0</v>
      </c>
      <c r="X46" s="38">
        <f t="shared" si="10"/>
        <v>0</v>
      </c>
      <c r="Y46" s="5"/>
      <c r="Z46" s="5"/>
      <c r="AA46" s="5"/>
    </row>
    <row r="47" spans="1:27" ht="63">
      <c r="A47" s="22" t="s">
        <v>87</v>
      </c>
      <c r="B47" s="33" t="s">
        <v>88</v>
      </c>
      <c r="C47" s="33" t="s">
        <v>50</v>
      </c>
      <c r="D47" s="114" t="s">
        <v>177</v>
      </c>
      <c r="E47" s="33" t="s">
        <v>65</v>
      </c>
      <c r="F47" s="114" t="s">
        <v>178</v>
      </c>
      <c r="G47" s="33" t="s">
        <v>54</v>
      </c>
      <c r="H47" s="114" t="s">
        <v>150</v>
      </c>
      <c r="I47" s="114" t="s">
        <v>164</v>
      </c>
      <c r="J47" s="121">
        <v>3</v>
      </c>
      <c r="K47" s="108">
        <v>750000</v>
      </c>
      <c r="L47" s="109">
        <v>329800</v>
      </c>
      <c r="M47" s="109">
        <v>0</v>
      </c>
      <c r="N47" s="36">
        <f t="shared" si="6"/>
        <v>1079800</v>
      </c>
      <c r="O47" s="36"/>
      <c r="P47" s="36"/>
      <c r="Q47" s="36"/>
      <c r="R47" s="36">
        <f t="shared" si="7"/>
        <v>1079800</v>
      </c>
      <c r="S47" s="110">
        <v>1079800</v>
      </c>
      <c r="T47" s="38">
        <f t="shared" si="8"/>
        <v>1</v>
      </c>
      <c r="U47" s="130">
        <v>0</v>
      </c>
      <c r="V47" s="38">
        <f t="shared" si="9"/>
        <v>0</v>
      </c>
      <c r="W47" s="109">
        <v>0</v>
      </c>
      <c r="X47" s="38">
        <f t="shared" si="10"/>
        <v>0</v>
      </c>
      <c r="Y47" s="5"/>
      <c r="Z47" s="5"/>
      <c r="AA47" s="5"/>
    </row>
    <row r="48" spans="1:27" ht="63">
      <c r="A48" s="22" t="s">
        <v>87</v>
      </c>
      <c r="B48" s="33" t="s">
        <v>88</v>
      </c>
      <c r="C48" s="33" t="s">
        <v>50</v>
      </c>
      <c r="D48" s="33" t="s">
        <v>64</v>
      </c>
      <c r="E48" s="33" t="s">
        <v>65</v>
      </c>
      <c r="F48" s="33" t="s">
        <v>66</v>
      </c>
      <c r="G48" s="33" t="s">
        <v>54</v>
      </c>
      <c r="H48" s="114" t="s">
        <v>150</v>
      </c>
      <c r="I48" s="114" t="s">
        <v>164</v>
      </c>
      <c r="J48" s="121">
        <v>3</v>
      </c>
      <c r="K48" s="108">
        <v>50000</v>
      </c>
      <c r="L48" s="105">
        <v>0</v>
      </c>
      <c r="M48" s="105">
        <v>0</v>
      </c>
      <c r="N48" s="26">
        <f t="shared" si="6"/>
        <v>50000</v>
      </c>
      <c r="O48" s="26"/>
      <c r="P48" s="26"/>
      <c r="Q48" s="26"/>
      <c r="R48" s="26">
        <f t="shared" si="7"/>
        <v>50000</v>
      </c>
      <c r="S48" s="110">
        <v>0</v>
      </c>
      <c r="T48" s="28">
        <f t="shared" si="8"/>
        <v>0</v>
      </c>
      <c r="U48" s="111">
        <v>0</v>
      </c>
      <c r="V48" s="28">
        <f t="shared" si="9"/>
        <v>0</v>
      </c>
      <c r="W48" s="105">
        <v>0</v>
      </c>
      <c r="X48" s="28">
        <f t="shared" si="10"/>
        <v>0</v>
      </c>
      <c r="Y48" s="5"/>
      <c r="Z48" s="5"/>
      <c r="AA48" s="5"/>
    </row>
    <row r="49" spans="1:27" ht="69.75" customHeight="1">
      <c r="A49" s="120" t="s">
        <v>87</v>
      </c>
      <c r="B49" s="33" t="s">
        <v>88</v>
      </c>
      <c r="C49" s="114" t="s">
        <v>50</v>
      </c>
      <c r="D49" s="114" t="s">
        <v>64</v>
      </c>
      <c r="E49" s="33" t="s">
        <v>65</v>
      </c>
      <c r="F49" s="33" t="s">
        <v>66</v>
      </c>
      <c r="G49" s="114" t="s">
        <v>54</v>
      </c>
      <c r="H49" s="114" t="s">
        <v>165</v>
      </c>
      <c r="I49" s="114" t="s">
        <v>164</v>
      </c>
      <c r="J49" s="125">
        <v>3</v>
      </c>
      <c r="K49" s="108">
        <v>0</v>
      </c>
      <c r="L49" s="105">
        <v>420000</v>
      </c>
      <c r="M49" s="105">
        <v>0</v>
      </c>
      <c r="N49" s="26">
        <f t="shared" si="6"/>
        <v>420000</v>
      </c>
      <c r="O49" s="26"/>
      <c r="P49" s="26"/>
      <c r="Q49" s="26"/>
      <c r="R49" s="26">
        <f t="shared" si="7"/>
        <v>420000</v>
      </c>
      <c r="S49" s="129">
        <v>248009.76</v>
      </c>
      <c r="T49" s="28">
        <f t="shared" si="8"/>
        <v>0.59049942857142856</v>
      </c>
      <c r="U49" s="111">
        <v>184360.28</v>
      </c>
      <c r="V49" s="28">
        <f t="shared" si="9"/>
        <v>0.43895304761904763</v>
      </c>
      <c r="W49" s="105">
        <v>184360.28</v>
      </c>
      <c r="X49" s="28">
        <f t="shared" si="10"/>
        <v>0.43895304761904763</v>
      </c>
      <c r="Y49" s="5"/>
      <c r="Z49" s="5"/>
      <c r="AA49" s="5"/>
    </row>
    <row r="50" spans="1:27" ht="63">
      <c r="A50" s="22" t="s">
        <v>87</v>
      </c>
      <c r="B50" s="33" t="s">
        <v>88</v>
      </c>
      <c r="C50" s="33" t="s">
        <v>50</v>
      </c>
      <c r="D50" s="33" t="s">
        <v>113</v>
      </c>
      <c r="E50" s="33" t="s">
        <v>65</v>
      </c>
      <c r="F50" s="114" t="s">
        <v>170</v>
      </c>
      <c r="G50" s="33" t="s">
        <v>54</v>
      </c>
      <c r="H50" s="114" t="s">
        <v>150</v>
      </c>
      <c r="I50" s="114" t="s">
        <v>164</v>
      </c>
      <c r="J50" s="121">
        <v>3</v>
      </c>
      <c r="K50" s="108">
        <f>37007920-K51</f>
        <v>36751090</v>
      </c>
      <c r="L50" s="105">
        <v>645900.48</v>
      </c>
      <c r="M50" s="105">
        <v>645900.48</v>
      </c>
      <c r="N50" s="26">
        <f t="shared" si="6"/>
        <v>36751090</v>
      </c>
      <c r="O50" s="26"/>
      <c r="P50" s="26"/>
      <c r="Q50" s="26"/>
      <c r="R50" s="26">
        <f t="shared" si="7"/>
        <v>36751090</v>
      </c>
      <c r="S50" s="105">
        <f>30557318.77-S51</f>
        <v>30313757.210000001</v>
      </c>
      <c r="T50" s="28">
        <f t="shared" si="8"/>
        <v>0.82483967713610673</v>
      </c>
      <c r="U50" s="111">
        <f>15214993.5-U51</f>
        <v>15016398.6</v>
      </c>
      <c r="V50" s="28">
        <f t="shared" si="9"/>
        <v>0.40859736677197872</v>
      </c>
      <c r="W50" s="105">
        <f>15058360.99-W51</f>
        <v>14859766.09</v>
      </c>
      <c r="X50" s="28">
        <f t="shared" si="10"/>
        <v>0.40433538406615965</v>
      </c>
      <c r="Y50" s="5"/>
      <c r="Z50" s="5"/>
      <c r="AA50" s="5"/>
    </row>
    <row r="51" spans="1:27" ht="63">
      <c r="A51" s="22" t="s">
        <v>87</v>
      </c>
      <c r="B51" s="33" t="s">
        <v>88</v>
      </c>
      <c r="C51" s="33" t="s">
        <v>50</v>
      </c>
      <c r="D51" s="33" t="s">
        <v>113</v>
      </c>
      <c r="E51" s="33" t="s">
        <v>65</v>
      </c>
      <c r="F51" s="114" t="s">
        <v>170</v>
      </c>
      <c r="G51" s="33" t="s">
        <v>54</v>
      </c>
      <c r="H51" s="114" t="s">
        <v>150</v>
      </c>
      <c r="I51" s="114" t="s">
        <v>164</v>
      </c>
      <c r="J51" s="44">
        <v>4</v>
      </c>
      <c r="K51" s="108">
        <f>256830</f>
        <v>256830</v>
      </c>
      <c r="L51" s="105">
        <v>0</v>
      </c>
      <c r="M51" s="105">
        <v>0</v>
      </c>
      <c r="N51" s="26">
        <f t="shared" si="6"/>
        <v>256830</v>
      </c>
      <c r="O51" s="26"/>
      <c r="P51" s="26"/>
      <c r="Q51" s="26"/>
      <c r="R51" s="26">
        <f t="shared" si="7"/>
        <v>256830</v>
      </c>
      <c r="S51" s="105">
        <f>1210+6200+361.02+43395.64+192394.9</f>
        <v>243561.56</v>
      </c>
      <c r="T51" s="28">
        <f t="shared" si="8"/>
        <v>0.94833765525834213</v>
      </c>
      <c r="U51" s="113">
        <f>6200+192394.9</f>
        <v>198594.9</v>
      </c>
      <c r="V51" s="28">
        <f t="shared" si="9"/>
        <v>0.77325429272281276</v>
      </c>
      <c r="W51" s="105">
        <f>6200+192394.9</f>
        <v>198594.9</v>
      </c>
      <c r="X51" s="28">
        <f t="shared" si="10"/>
        <v>0.77325429272281276</v>
      </c>
      <c r="Y51" s="5"/>
      <c r="Z51" s="5"/>
      <c r="AA51" s="5"/>
    </row>
    <row r="52" spans="1:27" ht="63" customHeight="1">
      <c r="A52" s="120" t="s">
        <v>87</v>
      </c>
      <c r="B52" s="33" t="s">
        <v>88</v>
      </c>
      <c r="C52" s="104" t="s">
        <v>50</v>
      </c>
      <c r="D52" s="104" t="s">
        <v>113</v>
      </c>
      <c r="E52" s="33" t="s">
        <v>65</v>
      </c>
      <c r="F52" s="114" t="s">
        <v>170</v>
      </c>
      <c r="G52" s="104" t="s">
        <v>54</v>
      </c>
      <c r="H52" s="104" t="s">
        <v>165</v>
      </c>
      <c r="I52" s="114" t="s">
        <v>164</v>
      </c>
      <c r="J52" s="125">
        <v>3</v>
      </c>
      <c r="K52" s="108">
        <v>0</v>
      </c>
      <c r="L52" s="105">
        <v>5354092.38</v>
      </c>
      <c r="M52" s="105">
        <v>50000</v>
      </c>
      <c r="N52" s="26">
        <f t="shared" si="6"/>
        <v>5304092.38</v>
      </c>
      <c r="O52" s="26"/>
      <c r="P52" s="26"/>
      <c r="Q52" s="26"/>
      <c r="R52" s="26">
        <f t="shared" si="7"/>
        <v>5304092.38</v>
      </c>
      <c r="S52" s="109">
        <v>2316616.59</v>
      </c>
      <c r="T52" s="28">
        <f t="shared" si="8"/>
        <v>0.43676022663843572</v>
      </c>
      <c r="U52" s="111">
        <v>1566616.59</v>
      </c>
      <c r="V52" s="28">
        <f t="shared" si="9"/>
        <v>0.29535997448068579</v>
      </c>
      <c r="W52" s="105">
        <v>1566616.59</v>
      </c>
      <c r="X52" s="28">
        <f t="shared" si="10"/>
        <v>0.29535997448068579</v>
      </c>
      <c r="Y52" s="5"/>
      <c r="Z52" s="5"/>
      <c r="AA52" s="5"/>
    </row>
    <row r="53" spans="1:27" ht="63" customHeight="1">
      <c r="A53" s="120" t="s">
        <v>87</v>
      </c>
      <c r="B53" s="104" t="s">
        <v>88</v>
      </c>
      <c r="C53" s="104" t="s">
        <v>50</v>
      </c>
      <c r="D53" s="104" t="s">
        <v>116</v>
      </c>
      <c r="E53" s="33" t="s">
        <v>65</v>
      </c>
      <c r="F53" s="104" t="s">
        <v>179</v>
      </c>
      <c r="G53" s="104" t="s">
        <v>54</v>
      </c>
      <c r="H53" s="104" t="s">
        <v>150</v>
      </c>
      <c r="I53" s="114" t="s">
        <v>164</v>
      </c>
      <c r="J53" s="125">
        <v>3</v>
      </c>
      <c r="K53" s="108">
        <v>960000</v>
      </c>
      <c r="L53" s="105">
        <v>50000</v>
      </c>
      <c r="M53" s="105">
        <v>50000</v>
      </c>
      <c r="N53" s="26">
        <f t="shared" si="6"/>
        <v>960000</v>
      </c>
      <c r="O53" s="26"/>
      <c r="P53" s="26"/>
      <c r="Q53" s="26"/>
      <c r="R53" s="26">
        <f t="shared" si="7"/>
        <v>960000</v>
      </c>
      <c r="S53" s="109">
        <v>495922.78</v>
      </c>
      <c r="T53" s="28">
        <f t="shared" si="8"/>
        <v>0.51658622916666674</v>
      </c>
      <c r="U53" s="111">
        <v>495922.78</v>
      </c>
      <c r="V53" s="28">
        <f t="shared" si="9"/>
        <v>0.51658622916666674</v>
      </c>
      <c r="W53" s="105">
        <v>494299.07</v>
      </c>
      <c r="X53" s="28">
        <f t="shared" si="10"/>
        <v>0.51489486458333333</v>
      </c>
      <c r="Y53" s="5"/>
      <c r="Z53" s="5"/>
      <c r="AA53" s="5"/>
    </row>
    <row r="54" spans="1:27" ht="63" customHeight="1">
      <c r="A54" s="22" t="s">
        <v>87</v>
      </c>
      <c r="B54" s="23" t="s">
        <v>88</v>
      </c>
      <c r="C54" s="23" t="s">
        <v>50</v>
      </c>
      <c r="D54" s="23" t="s">
        <v>71</v>
      </c>
      <c r="E54" s="33" t="s">
        <v>65</v>
      </c>
      <c r="F54" s="23" t="s">
        <v>72</v>
      </c>
      <c r="G54" s="23" t="s">
        <v>54</v>
      </c>
      <c r="H54" s="104" t="s">
        <v>150</v>
      </c>
      <c r="I54" s="114" t="s">
        <v>164</v>
      </c>
      <c r="J54" s="121">
        <v>3</v>
      </c>
      <c r="K54" s="108">
        <v>50000</v>
      </c>
      <c r="L54" s="105">
        <v>0</v>
      </c>
      <c r="M54" s="105">
        <v>0</v>
      </c>
      <c r="N54" s="26">
        <f t="shared" si="6"/>
        <v>50000</v>
      </c>
      <c r="O54" s="26"/>
      <c r="P54" s="26"/>
      <c r="Q54" s="26"/>
      <c r="R54" s="26">
        <f t="shared" si="7"/>
        <v>50000</v>
      </c>
      <c r="S54" s="109">
        <v>0</v>
      </c>
      <c r="T54" s="28">
        <f t="shared" si="8"/>
        <v>0</v>
      </c>
      <c r="U54" s="111">
        <v>0</v>
      </c>
      <c r="V54" s="28">
        <f t="shared" si="9"/>
        <v>0</v>
      </c>
      <c r="W54" s="105">
        <v>0</v>
      </c>
      <c r="X54" s="28">
        <f t="shared" si="10"/>
        <v>0</v>
      </c>
      <c r="Y54" s="5"/>
      <c r="Z54" s="5"/>
      <c r="AA54" s="5"/>
    </row>
    <row r="55" spans="1:27" ht="63" customHeight="1">
      <c r="A55" s="120" t="s">
        <v>87</v>
      </c>
      <c r="B55" s="23" t="s">
        <v>88</v>
      </c>
      <c r="C55" s="114" t="s">
        <v>50</v>
      </c>
      <c r="D55" s="114" t="s">
        <v>184</v>
      </c>
      <c r="E55" s="33" t="s">
        <v>65</v>
      </c>
      <c r="F55" s="23" t="s">
        <v>72</v>
      </c>
      <c r="G55" s="114" t="s">
        <v>54</v>
      </c>
      <c r="H55" s="114" t="s">
        <v>165</v>
      </c>
      <c r="I55" s="114" t="s">
        <v>164</v>
      </c>
      <c r="J55" s="125">
        <v>3</v>
      </c>
      <c r="K55" s="108">
        <v>0</v>
      </c>
      <c r="L55" s="109">
        <v>94000</v>
      </c>
      <c r="M55" s="109">
        <v>0</v>
      </c>
      <c r="N55" s="26">
        <f t="shared" si="6"/>
        <v>94000</v>
      </c>
      <c r="O55" s="36"/>
      <c r="P55" s="36"/>
      <c r="Q55" s="36"/>
      <c r="R55" s="26">
        <f t="shared" si="7"/>
        <v>94000</v>
      </c>
      <c r="S55" s="109">
        <v>41763.82</v>
      </c>
      <c r="T55" s="28">
        <f t="shared" si="8"/>
        <v>0.4442959574468085</v>
      </c>
      <c r="U55" s="111">
        <v>34675.660000000003</v>
      </c>
      <c r="V55" s="28">
        <f t="shared" si="9"/>
        <v>0.36889000000000005</v>
      </c>
      <c r="W55" s="109">
        <v>34675.660000000003</v>
      </c>
      <c r="X55" s="28">
        <f t="shared" si="10"/>
        <v>0.36889000000000005</v>
      </c>
      <c r="Y55" s="5"/>
      <c r="Z55" s="5"/>
      <c r="AA55" s="5"/>
    </row>
    <row r="56" spans="1:27" ht="63" customHeight="1">
      <c r="A56" s="22" t="s">
        <v>87</v>
      </c>
      <c r="B56" s="33" t="s">
        <v>88</v>
      </c>
      <c r="C56" s="33" t="s">
        <v>118</v>
      </c>
      <c r="D56" s="33" t="s">
        <v>119</v>
      </c>
      <c r="E56" s="114" t="s">
        <v>90</v>
      </c>
      <c r="F56" s="114" t="s">
        <v>180</v>
      </c>
      <c r="G56" s="33" t="s">
        <v>54</v>
      </c>
      <c r="H56" s="114" t="s">
        <v>150</v>
      </c>
      <c r="I56" s="114" t="s">
        <v>164</v>
      </c>
      <c r="J56" s="121">
        <v>3</v>
      </c>
      <c r="K56" s="34">
        <f>16951090-K57</f>
        <v>15951090</v>
      </c>
      <c r="L56" s="109">
        <v>25109.99</v>
      </c>
      <c r="M56" s="109">
        <v>25109.99</v>
      </c>
      <c r="N56" s="36">
        <f t="shared" si="6"/>
        <v>15951090</v>
      </c>
      <c r="O56" s="36"/>
      <c r="P56" s="36"/>
      <c r="Q56" s="36"/>
      <c r="R56" s="36">
        <f t="shared" si="7"/>
        <v>15951090</v>
      </c>
      <c r="S56" s="109">
        <f>16569945.08-S57</f>
        <v>15782111.93</v>
      </c>
      <c r="T56" s="38">
        <f t="shared" si="8"/>
        <v>0.98940648758172633</v>
      </c>
      <c r="U56" s="111">
        <v>4404700.95</v>
      </c>
      <c r="V56" s="38">
        <f t="shared" si="9"/>
        <v>0.27613792850519936</v>
      </c>
      <c r="W56" s="109">
        <v>4404700.95</v>
      </c>
      <c r="X56" s="38">
        <f t="shared" si="10"/>
        <v>0.27613792850519936</v>
      </c>
      <c r="Y56" s="5"/>
      <c r="Z56" s="5"/>
      <c r="AA56" s="5"/>
    </row>
    <row r="57" spans="1:27" ht="63" customHeight="1">
      <c r="A57" s="22" t="s">
        <v>87</v>
      </c>
      <c r="B57" s="23" t="s">
        <v>88</v>
      </c>
      <c r="C57" s="23" t="s">
        <v>118</v>
      </c>
      <c r="D57" s="23" t="s">
        <v>119</v>
      </c>
      <c r="E57" s="114" t="s">
        <v>90</v>
      </c>
      <c r="F57" s="114" t="s">
        <v>180</v>
      </c>
      <c r="G57" s="23" t="s">
        <v>54</v>
      </c>
      <c r="H57" s="104" t="s">
        <v>150</v>
      </c>
      <c r="I57" s="114" t="s">
        <v>164</v>
      </c>
      <c r="J57" s="44">
        <v>4</v>
      </c>
      <c r="K57" s="108">
        <f>1000000</f>
        <v>1000000</v>
      </c>
      <c r="L57" s="105">
        <v>0</v>
      </c>
      <c r="M57" s="105">
        <v>0</v>
      </c>
      <c r="N57" s="26">
        <f t="shared" si="6"/>
        <v>1000000</v>
      </c>
      <c r="O57" s="26"/>
      <c r="P57" s="26"/>
      <c r="Q57" s="26"/>
      <c r="R57" s="26">
        <f t="shared" si="7"/>
        <v>1000000</v>
      </c>
      <c r="S57" s="109">
        <f>787833.15</f>
        <v>787833.15</v>
      </c>
      <c r="T57" s="28">
        <f t="shared" si="8"/>
        <v>0.78783314999999998</v>
      </c>
      <c r="U57" s="113">
        <v>0</v>
      </c>
      <c r="V57" s="28">
        <f t="shared" si="9"/>
        <v>0</v>
      </c>
      <c r="W57" s="105">
        <v>0</v>
      </c>
      <c r="X57" s="28">
        <f t="shared" si="10"/>
        <v>0</v>
      </c>
      <c r="Y57" s="5"/>
      <c r="Z57" s="5"/>
      <c r="AA57" s="5"/>
    </row>
    <row r="58" spans="1:27" ht="63" customHeight="1">
      <c r="A58" s="22" t="s">
        <v>87</v>
      </c>
      <c r="B58" s="23" t="s">
        <v>88</v>
      </c>
      <c r="C58" s="23" t="s">
        <v>118</v>
      </c>
      <c r="D58" s="23" t="s">
        <v>119</v>
      </c>
      <c r="E58" s="114" t="s">
        <v>90</v>
      </c>
      <c r="F58" s="114" t="s">
        <v>180</v>
      </c>
      <c r="G58" s="23" t="s">
        <v>54</v>
      </c>
      <c r="H58" s="104" t="s">
        <v>165</v>
      </c>
      <c r="I58" s="114" t="s">
        <v>164</v>
      </c>
      <c r="J58" s="121">
        <v>3</v>
      </c>
      <c r="K58" s="108">
        <v>0</v>
      </c>
      <c r="L58" s="105">
        <v>195000</v>
      </c>
      <c r="M58" s="105">
        <v>0</v>
      </c>
      <c r="N58" s="26">
        <f t="shared" si="6"/>
        <v>195000</v>
      </c>
      <c r="O58" s="26"/>
      <c r="P58" s="26"/>
      <c r="Q58" s="26"/>
      <c r="R58" s="26">
        <f t="shared" si="7"/>
        <v>195000</v>
      </c>
      <c r="S58" s="109">
        <v>52894</v>
      </c>
      <c r="T58" s="28">
        <f t="shared" si="8"/>
        <v>0.27125128205128207</v>
      </c>
      <c r="U58" s="111">
        <v>52894</v>
      </c>
      <c r="V58" s="28">
        <f t="shared" si="9"/>
        <v>0.27125128205128207</v>
      </c>
      <c r="W58" s="105">
        <v>52894</v>
      </c>
      <c r="X58" s="28">
        <f t="shared" si="10"/>
        <v>0.27125128205128207</v>
      </c>
      <c r="Y58" s="5"/>
      <c r="Z58" s="5"/>
      <c r="AA58" s="5"/>
    </row>
    <row r="59" spans="1:27" ht="63" customHeight="1">
      <c r="A59" s="22" t="s">
        <v>87</v>
      </c>
      <c r="B59" s="23" t="s">
        <v>88</v>
      </c>
      <c r="C59" s="23" t="s">
        <v>118</v>
      </c>
      <c r="D59" s="23" t="s">
        <v>121</v>
      </c>
      <c r="E59" s="33" t="s">
        <v>65</v>
      </c>
      <c r="F59" s="104" t="s">
        <v>181</v>
      </c>
      <c r="G59" s="23" t="s">
        <v>54</v>
      </c>
      <c r="H59" s="104" t="s">
        <v>150</v>
      </c>
      <c r="I59" s="114" t="s">
        <v>164</v>
      </c>
      <c r="J59" s="121">
        <v>3</v>
      </c>
      <c r="K59" s="108">
        <f>9751090-K60</f>
        <v>9651090</v>
      </c>
      <c r="L59" s="105">
        <v>0</v>
      </c>
      <c r="M59" s="105">
        <v>0</v>
      </c>
      <c r="N59" s="26">
        <f t="shared" si="6"/>
        <v>9651090</v>
      </c>
      <c r="O59" s="26"/>
      <c r="P59" s="26"/>
      <c r="Q59" s="26"/>
      <c r="R59" s="26">
        <f t="shared" si="7"/>
        <v>9651090</v>
      </c>
      <c r="S59" s="109">
        <f>9264786.22-S60</f>
        <v>9164786.2200000007</v>
      </c>
      <c r="T59" s="28">
        <f t="shared" si="8"/>
        <v>0.9496115174555414</v>
      </c>
      <c r="U59" s="111">
        <f>1518412.15</f>
        <v>1518412.15</v>
      </c>
      <c r="V59" s="28">
        <f t="shared" si="9"/>
        <v>0.15733063830095875</v>
      </c>
      <c r="W59" s="105">
        <v>1518412.15</v>
      </c>
      <c r="X59" s="28">
        <f t="shared" si="10"/>
        <v>0.15733063830095875</v>
      </c>
      <c r="Y59" s="5"/>
      <c r="Z59" s="5"/>
      <c r="AA59" s="5"/>
    </row>
    <row r="60" spans="1:27" ht="63" customHeight="1">
      <c r="A60" s="22" t="s">
        <v>87</v>
      </c>
      <c r="B60" s="23" t="s">
        <v>88</v>
      </c>
      <c r="C60" s="23" t="s">
        <v>118</v>
      </c>
      <c r="D60" s="23" t="s">
        <v>121</v>
      </c>
      <c r="E60" s="33" t="s">
        <v>65</v>
      </c>
      <c r="F60" s="104" t="s">
        <v>181</v>
      </c>
      <c r="G60" s="23" t="s">
        <v>54</v>
      </c>
      <c r="H60" s="104" t="s">
        <v>150</v>
      </c>
      <c r="I60" s="114" t="s">
        <v>164</v>
      </c>
      <c r="J60" s="44">
        <v>4</v>
      </c>
      <c r="K60" s="108">
        <f>100000</f>
        <v>100000</v>
      </c>
      <c r="L60" s="105">
        <v>100000</v>
      </c>
      <c r="M60" s="105">
        <v>100000</v>
      </c>
      <c r="N60" s="26">
        <f t="shared" si="6"/>
        <v>100000</v>
      </c>
      <c r="O60" s="26"/>
      <c r="P60" s="26"/>
      <c r="Q60" s="26"/>
      <c r="R60" s="26">
        <f t="shared" si="7"/>
        <v>100000</v>
      </c>
      <c r="S60" s="109">
        <v>100000</v>
      </c>
      <c r="T60" s="28">
        <f t="shared" si="8"/>
        <v>1</v>
      </c>
      <c r="U60" s="113">
        <v>0</v>
      </c>
      <c r="V60" s="28">
        <f t="shared" si="9"/>
        <v>0</v>
      </c>
      <c r="W60" s="105">
        <v>0</v>
      </c>
      <c r="X60" s="28">
        <f t="shared" si="10"/>
        <v>0</v>
      </c>
      <c r="Y60" s="5"/>
      <c r="Z60" s="5"/>
      <c r="AA60" s="5"/>
    </row>
    <row r="61" spans="1:27" ht="63" customHeight="1">
      <c r="A61" s="22" t="s">
        <v>87</v>
      </c>
      <c r="B61" s="23" t="s">
        <v>88</v>
      </c>
      <c r="C61" s="23" t="s">
        <v>118</v>
      </c>
      <c r="D61" s="23" t="s">
        <v>121</v>
      </c>
      <c r="E61" s="33" t="s">
        <v>65</v>
      </c>
      <c r="F61" s="104" t="s">
        <v>181</v>
      </c>
      <c r="G61" s="23" t="s">
        <v>54</v>
      </c>
      <c r="H61" s="104" t="s">
        <v>165</v>
      </c>
      <c r="I61" s="114" t="s">
        <v>164</v>
      </c>
      <c r="J61" s="121">
        <v>3</v>
      </c>
      <c r="K61" s="108">
        <v>0</v>
      </c>
      <c r="L61" s="105">
        <v>40000</v>
      </c>
      <c r="M61" s="105">
        <v>0</v>
      </c>
      <c r="N61" s="26">
        <f t="shared" si="6"/>
        <v>40000</v>
      </c>
      <c r="O61" s="26"/>
      <c r="P61" s="26"/>
      <c r="Q61" s="26"/>
      <c r="R61" s="26">
        <f t="shared" si="7"/>
        <v>40000</v>
      </c>
      <c r="S61" s="109">
        <v>0</v>
      </c>
      <c r="T61" s="28">
        <f t="shared" si="8"/>
        <v>0</v>
      </c>
      <c r="U61" s="111">
        <v>0</v>
      </c>
      <c r="V61" s="28">
        <f t="shared" si="9"/>
        <v>0</v>
      </c>
      <c r="W61" s="105">
        <v>0</v>
      </c>
      <c r="X61" s="28">
        <f t="shared" si="10"/>
        <v>0</v>
      </c>
      <c r="Y61" s="5"/>
      <c r="Z61" s="5"/>
      <c r="AA61" s="5"/>
    </row>
    <row r="62" spans="1:27" ht="63" customHeight="1">
      <c r="A62" s="22" t="s">
        <v>87</v>
      </c>
      <c r="B62" s="23" t="s">
        <v>88</v>
      </c>
      <c r="C62" s="23" t="s">
        <v>76</v>
      </c>
      <c r="D62" s="23" t="s">
        <v>77</v>
      </c>
      <c r="E62" s="33" t="s">
        <v>65</v>
      </c>
      <c r="F62" s="23" t="s">
        <v>123</v>
      </c>
      <c r="G62" s="23" t="s">
        <v>54</v>
      </c>
      <c r="H62" s="104" t="s">
        <v>150</v>
      </c>
      <c r="I62" s="114" t="s">
        <v>164</v>
      </c>
      <c r="J62" s="121">
        <v>3</v>
      </c>
      <c r="K62" s="108">
        <v>1500000</v>
      </c>
      <c r="L62" s="105">
        <v>548956.36</v>
      </c>
      <c r="M62" s="105">
        <v>548956.36</v>
      </c>
      <c r="N62" s="26">
        <f t="shared" si="6"/>
        <v>1500000</v>
      </c>
      <c r="O62" s="26"/>
      <c r="P62" s="26"/>
      <c r="Q62" s="26"/>
      <c r="R62" s="26">
        <f t="shared" si="7"/>
        <v>1500000</v>
      </c>
      <c r="S62" s="109">
        <v>827667.83</v>
      </c>
      <c r="T62" s="28">
        <f t="shared" si="8"/>
        <v>0.55177855333333325</v>
      </c>
      <c r="U62" s="111">
        <v>110409.67</v>
      </c>
      <c r="V62" s="28">
        <f t="shared" si="9"/>
        <v>7.3606446666666672E-2</v>
      </c>
      <c r="W62" s="105">
        <v>109350.81</v>
      </c>
      <c r="X62" s="28">
        <f t="shared" si="10"/>
        <v>7.290054E-2</v>
      </c>
      <c r="Y62" s="5"/>
      <c r="Z62" s="5"/>
      <c r="AA62" s="5"/>
    </row>
    <row r="63" spans="1:27" ht="63" customHeight="1">
      <c r="A63" s="22" t="s">
        <v>87</v>
      </c>
      <c r="B63" s="23" t="s">
        <v>88</v>
      </c>
      <c r="C63" s="23" t="s">
        <v>76</v>
      </c>
      <c r="D63" s="23" t="s">
        <v>77</v>
      </c>
      <c r="E63" s="33" t="s">
        <v>65</v>
      </c>
      <c r="F63" s="23" t="s">
        <v>123</v>
      </c>
      <c r="G63" s="23" t="s">
        <v>54</v>
      </c>
      <c r="H63" s="104" t="s">
        <v>165</v>
      </c>
      <c r="I63" s="114" t="s">
        <v>164</v>
      </c>
      <c r="J63" s="121">
        <v>3</v>
      </c>
      <c r="K63" s="108">
        <v>0</v>
      </c>
      <c r="L63" s="105">
        <v>509200.25</v>
      </c>
      <c r="M63" s="105">
        <v>0</v>
      </c>
      <c r="N63" s="26">
        <f t="shared" si="6"/>
        <v>509200.25</v>
      </c>
      <c r="O63" s="26"/>
      <c r="P63" s="26"/>
      <c r="Q63" s="26"/>
      <c r="R63" s="26">
        <f t="shared" si="7"/>
        <v>509200.25</v>
      </c>
      <c r="S63" s="109">
        <v>309200.25</v>
      </c>
      <c r="T63" s="28">
        <f t="shared" si="8"/>
        <v>0.6072272156190025</v>
      </c>
      <c r="U63" s="111">
        <v>0</v>
      </c>
      <c r="V63" s="28">
        <f t="shared" si="9"/>
        <v>0</v>
      </c>
      <c r="W63" s="105">
        <v>0</v>
      </c>
      <c r="X63" s="28">
        <f t="shared" si="10"/>
        <v>0</v>
      </c>
      <c r="Y63" s="5"/>
      <c r="Z63" s="5"/>
      <c r="AA63" s="5"/>
    </row>
    <row r="64" spans="1:27" ht="63" customHeight="1">
      <c r="A64" s="22" t="s">
        <v>87</v>
      </c>
      <c r="B64" s="23" t="s">
        <v>88</v>
      </c>
      <c r="C64" s="23" t="s">
        <v>76</v>
      </c>
      <c r="D64" s="104" t="s">
        <v>61</v>
      </c>
      <c r="E64" s="33" t="s">
        <v>65</v>
      </c>
      <c r="F64" s="104" t="s">
        <v>171</v>
      </c>
      <c r="G64" s="23" t="s">
        <v>54</v>
      </c>
      <c r="H64" s="104" t="s">
        <v>150</v>
      </c>
      <c r="I64" s="114" t="s">
        <v>164</v>
      </c>
      <c r="J64" s="121">
        <v>3</v>
      </c>
      <c r="K64" s="108">
        <v>205640</v>
      </c>
      <c r="L64" s="105">
        <v>0</v>
      </c>
      <c r="M64" s="105">
        <v>0</v>
      </c>
      <c r="N64" s="26">
        <f t="shared" si="6"/>
        <v>205640</v>
      </c>
      <c r="O64" s="26"/>
      <c r="P64" s="26"/>
      <c r="Q64" s="26"/>
      <c r="R64" s="26">
        <f t="shared" si="7"/>
        <v>205640</v>
      </c>
      <c r="S64" s="109">
        <v>0</v>
      </c>
      <c r="T64" s="28">
        <f t="shared" si="8"/>
        <v>0</v>
      </c>
      <c r="U64" s="111">
        <v>0</v>
      </c>
      <c r="V64" s="28">
        <f t="shared" si="9"/>
        <v>0</v>
      </c>
      <c r="W64" s="105">
        <v>0</v>
      </c>
      <c r="X64" s="28">
        <f t="shared" si="10"/>
        <v>0</v>
      </c>
      <c r="Y64" s="5"/>
      <c r="Z64" s="5"/>
      <c r="AA64" s="5"/>
    </row>
    <row r="65" spans="1:27" ht="63" customHeight="1">
      <c r="A65" s="22" t="s">
        <v>87</v>
      </c>
      <c r="B65" s="23" t="s">
        <v>88</v>
      </c>
      <c r="C65" s="23" t="s">
        <v>76</v>
      </c>
      <c r="D65" s="104" t="s">
        <v>61</v>
      </c>
      <c r="E65" s="33" t="s">
        <v>65</v>
      </c>
      <c r="F65" s="104" t="s">
        <v>171</v>
      </c>
      <c r="G65" s="23" t="s">
        <v>54</v>
      </c>
      <c r="H65" s="104" t="s">
        <v>150</v>
      </c>
      <c r="I65" s="114" t="s">
        <v>164</v>
      </c>
      <c r="J65" s="44">
        <v>4</v>
      </c>
      <c r="K65" s="108">
        <v>240000</v>
      </c>
      <c r="L65" s="105">
        <v>0</v>
      </c>
      <c r="M65" s="105">
        <v>0</v>
      </c>
      <c r="N65" s="26">
        <f t="shared" si="6"/>
        <v>240000</v>
      </c>
      <c r="O65" s="26"/>
      <c r="P65" s="26"/>
      <c r="Q65" s="26"/>
      <c r="R65" s="26">
        <f t="shared" si="7"/>
        <v>240000</v>
      </c>
      <c r="S65" s="109">
        <v>0</v>
      </c>
      <c r="T65" s="28">
        <f t="shared" si="8"/>
        <v>0</v>
      </c>
      <c r="U65" s="113">
        <v>0</v>
      </c>
      <c r="V65" s="28">
        <f t="shared" si="9"/>
        <v>0</v>
      </c>
      <c r="W65" s="105">
        <v>0</v>
      </c>
      <c r="X65" s="28">
        <f t="shared" si="10"/>
        <v>0</v>
      </c>
      <c r="Y65" s="5"/>
      <c r="Z65" s="5"/>
      <c r="AA65" s="5"/>
    </row>
    <row r="66" spans="1:27" ht="63" customHeight="1">
      <c r="A66" s="120" t="s">
        <v>87</v>
      </c>
      <c r="B66" s="23" t="s">
        <v>88</v>
      </c>
      <c r="C66" s="104" t="s">
        <v>76</v>
      </c>
      <c r="D66" s="104" t="s">
        <v>182</v>
      </c>
      <c r="E66" s="33" t="s">
        <v>65</v>
      </c>
      <c r="F66" s="104" t="s">
        <v>171</v>
      </c>
      <c r="G66" s="104" t="s">
        <v>54</v>
      </c>
      <c r="H66" s="104" t="s">
        <v>154</v>
      </c>
      <c r="I66" s="104" t="s">
        <v>166</v>
      </c>
      <c r="J66" s="128">
        <v>3</v>
      </c>
      <c r="K66" s="108">
        <v>1200000</v>
      </c>
      <c r="L66" s="105">
        <v>0</v>
      </c>
      <c r="M66" s="105">
        <v>0</v>
      </c>
      <c r="N66" s="26">
        <f t="shared" si="6"/>
        <v>1200000</v>
      </c>
      <c r="O66" s="26"/>
      <c r="P66" s="26"/>
      <c r="Q66" s="26"/>
      <c r="R66" s="26">
        <f t="shared" si="7"/>
        <v>1200000</v>
      </c>
      <c r="S66" s="109">
        <v>551151.43999999994</v>
      </c>
      <c r="T66" s="28">
        <f t="shared" si="8"/>
        <v>0.45929286666666663</v>
      </c>
      <c r="U66" s="126">
        <v>74606.5</v>
      </c>
      <c r="V66" s="28">
        <f t="shared" si="9"/>
        <v>6.2172083333333336E-2</v>
      </c>
      <c r="W66" s="105">
        <v>71195.179999999993</v>
      </c>
      <c r="X66" s="28">
        <f t="shared" si="10"/>
        <v>5.9329316666666659E-2</v>
      </c>
      <c r="Y66" s="5"/>
      <c r="Z66" s="5"/>
      <c r="AA66" s="5"/>
    </row>
    <row r="67" spans="1:27" ht="15.75" customHeight="1">
      <c r="A67" s="141" t="s">
        <v>124</v>
      </c>
      <c r="B67" s="140"/>
      <c r="C67" s="140"/>
      <c r="D67" s="140"/>
      <c r="E67" s="140"/>
      <c r="F67" s="140"/>
      <c r="G67" s="140"/>
      <c r="H67" s="140"/>
      <c r="I67" s="140"/>
      <c r="J67" s="135"/>
      <c r="K67" s="39">
        <f t="shared" ref="K67:S67" si="11">SUM(K30:K66)</f>
        <v>190820000</v>
      </c>
      <c r="L67" s="39">
        <f t="shared" si="11"/>
        <v>89834388.049999997</v>
      </c>
      <c r="M67" s="39">
        <f t="shared" si="11"/>
        <v>62165108.219999999</v>
      </c>
      <c r="N67" s="39">
        <f t="shared" si="11"/>
        <v>218489279.82999998</v>
      </c>
      <c r="O67" s="39">
        <f t="shared" si="11"/>
        <v>0</v>
      </c>
      <c r="P67" s="39">
        <f t="shared" si="11"/>
        <v>0</v>
      </c>
      <c r="Q67" s="39">
        <f t="shared" si="11"/>
        <v>0</v>
      </c>
      <c r="R67" s="39">
        <f t="shared" si="11"/>
        <v>218489279.82999998</v>
      </c>
      <c r="S67" s="39">
        <f t="shared" si="11"/>
        <v>176639703.95000005</v>
      </c>
      <c r="T67" s="40">
        <f t="shared" si="8"/>
        <v>0.80845936280003372</v>
      </c>
      <c r="U67" s="39">
        <f>SUM(U30:U66)</f>
        <v>51746008.030000001</v>
      </c>
      <c r="V67" s="40">
        <f t="shared" si="9"/>
        <v>0.23683545513199564</v>
      </c>
      <c r="W67" s="39">
        <f>SUM(W30:W66)</f>
        <v>51328369.939999998</v>
      </c>
      <c r="X67" s="40">
        <f t="shared" si="10"/>
        <v>0.23492397421025452</v>
      </c>
      <c r="Y67" s="5"/>
      <c r="Z67" s="5"/>
      <c r="AA67" s="5"/>
    </row>
    <row r="68" spans="1:27" ht="15.75" customHeight="1">
      <c r="A68" s="142" t="s">
        <v>125</v>
      </c>
      <c r="B68" s="140"/>
      <c r="C68" s="140"/>
      <c r="D68" s="140"/>
      <c r="E68" s="140"/>
      <c r="F68" s="140"/>
      <c r="G68" s="140"/>
      <c r="H68" s="140"/>
      <c r="I68" s="140"/>
      <c r="J68" s="135"/>
      <c r="K68" s="57">
        <f t="shared" ref="K68:S68" si="12">SUM(K27+K67)</f>
        <v>1214989000</v>
      </c>
      <c r="L68" s="57">
        <f t="shared" si="12"/>
        <v>116813385.5</v>
      </c>
      <c r="M68" s="57">
        <f t="shared" si="12"/>
        <v>89144105.670000002</v>
      </c>
      <c r="N68" s="57">
        <f t="shared" si="12"/>
        <v>1242658279.8299999</v>
      </c>
      <c r="O68" s="57">
        <f t="shared" si="12"/>
        <v>0</v>
      </c>
      <c r="P68" s="57">
        <f t="shared" si="12"/>
        <v>0</v>
      </c>
      <c r="Q68" s="57">
        <f t="shared" si="12"/>
        <v>-21971365.600000001</v>
      </c>
      <c r="R68" s="57">
        <f t="shared" si="12"/>
        <v>1220686914.23</v>
      </c>
      <c r="S68" s="57">
        <f t="shared" si="12"/>
        <v>572704588.67000008</v>
      </c>
      <c r="T68" s="58">
        <f t="shared" si="8"/>
        <v>0.4691658294963027</v>
      </c>
      <c r="U68" s="57">
        <f>SUM(U27+U67)</f>
        <v>447810892.75</v>
      </c>
      <c r="V68" s="58">
        <f t="shared" si="9"/>
        <v>0.36685155507911354</v>
      </c>
      <c r="W68" s="57">
        <f>SUM(W27+W67)</f>
        <v>435051767.54000002</v>
      </c>
      <c r="X68" s="58">
        <f t="shared" si="10"/>
        <v>0.35639914090045549</v>
      </c>
      <c r="Y68" s="30"/>
      <c r="Z68" s="5"/>
      <c r="AA68" s="5"/>
    </row>
    <row r="69" spans="1:27" ht="14.25" customHeight="1">
      <c r="A69" s="59" t="s">
        <v>126</v>
      </c>
      <c r="B69" s="60"/>
      <c r="C69" s="60"/>
      <c r="D69" s="60"/>
      <c r="E69" s="60"/>
      <c r="F69" s="60"/>
      <c r="G69" s="60"/>
      <c r="H69" s="61"/>
      <c r="I69" s="61"/>
      <c r="J69" s="61"/>
      <c r="K69" s="60"/>
      <c r="L69" s="60"/>
      <c r="M69" s="62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5"/>
      <c r="Z69" s="5"/>
      <c r="AA69" s="5"/>
    </row>
    <row r="70" spans="1:27" ht="14.25" customHeight="1">
      <c r="A70" s="59" t="s">
        <v>127</v>
      </c>
      <c r="B70" s="64"/>
      <c r="C70" s="60"/>
      <c r="D70" s="60"/>
      <c r="E70" s="60"/>
      <c r="F70" s="60"/>
      <c r="G70" s="60"/>
      <c r="H70" s="61"/>
      <c r="I70" s="61"/>
      <c r="J70" s="61"/>
      <c r="K70" s="60"/>
      <c r="L70" s="60"/>
      <c r="M70" s="62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5"/>
      <c r="Z70" s="5"/>
      <c r="AA70" s="5"/>
    </row>
    <row r="71" spans="1:27" ht="14.25" customHeight="1">
      <c r="A71" s="143" t="s">
        <v>128</v>
      </c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35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5"/>
      <c r="Z71" s="5"/>
      <c r="AA71" s="5"/>
    </row>
    <row r="72" spans="1:27" ht="14.25" customHeight="1">
      <c r="A72" s="122" t="s">
        <v>167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63"/>
      <c r="O72" s="63"/>
      <c r="P72" s="63"/>
      <c r="Q72" s="5"/>
      <c r="R72" s="5"/>
      <c r="S72" s="5"/>
      <c r="T72" s="5"/>
      <c r="U72" s="5"/>
      <c r="V72" s="5"/>
      <c r="W72" s="5"/>
      <c r="X72" s="66"/>
      <c r="Y72" s="5"/>
      <c r="Z72" s="5"/>
      <c r="AA72" s="5"/>
    </row>
    <row r="73" spans="1:27" ht="14.25" customHeight="1">
      <c r="A73" s="144"/>
      <c r="B73" s="145"/>
      <c r="C73" s="145"/>
      <c r="D73" s="145"/>
      <c r="E73" s="145"/>
      <c r="F73" s="145"/>
      <c r="G73" s="145"/>
      <c r="H73" s="146"/>
      <c r="I73" s="5"/>
      <c r="J73" s="5"/>
      <c r="K73" s="5"/>
      <c r="L73" s="5"/>
      <c r="M73" s="5"/>
      <c r="N73" s="63"/>
      <c r="O73" s="63"/>
      <c r="P73" s="63"/>
      <c r="Q73" s="5"/>
      <c r="R73" s="5"/>
      <c r="S73" s="5"/>
      <c r="T73" s="5"/>
      <c r="U73" s="5"/>
      <c r="V73" s="5"/>
      <c r="W73" s="5"/>
      <c r="X73" s="66"/>
      <c r="Y73" s="5"/>
      <c r="Z73" s="5"/>
      <c r="AA73" s="5"/>
    </row>
    <row r="74" spans="1:27" ht="14.25" customHeight="1">
      <c r="A74" s="147"/>
      <c r="B74" s="133"/>
      <c r="C74" s="133"/>
      <c r="D74" s="133"/>
      <c r="E74" s="133"/>
      <c r="F74" s="133"/>
      <c r="G74" s="133"/>
      <c r="H74" s="148"/>
      <c r="I74" s="3"/>
      <c r="J74" s="3"/>
      <c r="K74" s="67"/>
      <c r="L74" s="67"/>
      <c r="M74" s="67"/>
      <c r="N74" s="67"/>
      <c r="O74" s="67"/>
      <c r="P74" s="67"/>
      <c r="Q74" s="5"/>
      <c r="R74" s="5"/>
      <c r="S74" s="5"/>
      <c r="T74" s="5"/>
      <c r="U74" s="5"/>
      <c r="V74" s="5"/>
      <c r="W74" s="5"/>
      <c r="X74" s="66"/>
      <c r="Y74" s="30"/>
      <c r="Z74" s="5"/>
      <c r="AA74" s="5"/>
    </row>
    <row r="75" spans="1:27" ht="14.25" customHeight="1">
      <c r="A75" s="149"/>
      <c r="B75" s="150"/>
      <c r="C75" s="150"/>
      <c r="D75" s="150"/>
      <c r="E75" s="150"/>
      <c r="F75" s="150"/>
      <c r="G75" s="150"/>
      <c r="H75" s="151"/>
      <c r="I75" s="3"/>
      <c r="J75" s="3"/>
      <c r="K75" s="67"/>
      <c r="L75" s="67"/>
      <c r="M75" s="67"/>
      <c r="N75" s="67"/>
      <c r="O75" s="67"/>
      <c r="P75" s="67"/>
      <c r="Q75" s="5"/>
      <c r="R75" s="5"/>
      <c r="S75" s="5"/>
      <c r="T75" s="5"/>
      <c r="U75" s="68"/>
      <c r="V75" s="5"/>
      <c r="W75" s="5"/>
      <c r="X75" s="66"/>
      <c r="Y75" s="30"/>
      <c r="Z75" s="5"/>
      <c r="AA75" s="5"/>
    </row>
    <row r="76" spans="1:27" ht="14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4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4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4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4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4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</sheetData>
  <mergeCells count="28">
    <mergeCell ref="A1:F1"/>
    <mergeCell ref="A2:F2"/>
    <mergeCell ref="A3:F3"/>
    <mergeCell ref="A4:F4"/>
    <mergeCell ref="A6:F6"/>
    <mergeCell ref="A7:F7"/>
    <mergeCell ref="A9:X9"/>
    <mergeCell ref="P11:Q11"/>
    <mergeCell ref="S11:X11"/>
    <mergeCell ref="E12:F12"/>
    <mergeCell ref="H12:I12"/>
    <mergeCell ref="A8:F8"/>
    <mergeCell ref="A11:J11"/>
    <mergeCell ref="K11:K12"/>
    <mergeCell ref="L11:M11"/>
    <mergeCell ref="N11:N12"/>
    <mergeCell ref="O11:O12"/>
    <mergeCell ref="R11:R12"/>
    <mergeCell ref="A27:J27"/>
    <mergeCell ref="A67:J67"/>
    <mergeCell ref="A68:J68"/>
    <mergeCell ref="A71:M71"/>
    <mergeCell ref="A73:H75"/>
    <mergeCell ref="A12:B12"/>
    <mergeCell ref="C12:C13"/>
    <mergeCell ref="D12:D13"/>
    <mergeCell ref="G12:G13"/>
    <mergeCell ref="J12:J13"/>
  </mergeCells>
  <pageMargins left="0.511811024" right="0.511811024" top="0.78740157499999996" bottom="0.78740157499999996" header="0.31496062000000002" footer="0.31496062000000002"/>
  <pageSetup paperSize="9" scale="3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JANEIRO 2022</vt:lpstr>
      <vt:lpstr>JANEIRO 2023</vt:lpstr>
      <vt:lpstr>FEVEREIRO 2022</vt:lpstr>
      <vt:lpstr>MAIO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cp:lastPrinted>2024-06-10T14:38:49Z</cp:lastPrinted>
  <dcterms:modified xsi:type="dcterms:W3CDTF">2024-06-10T15:39:17Z</dcterms:modified>
</cp:coreProperties>
</file>