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ABRIL 2023" sheetId="8" r:id="rId1"/>
  </sheets>
  <calcPr calcId="124519"/>
  <extLst>
    <ext uri="GoogleSheetsCustomDataVersion2">
      <go:sheetsCustomData xmlns:go="http://customooxmlschemas.google.com/" r:id="rId23" roundtripDataChecksum="eJkRjsOGhX1QiaLrW0ME/4uFGXOKo2oZKKclBH6pn+c="/>
    </ext>
  </extLst>
</workbook>
</file>

<file path=xl/calcChain.xml><?xml version="1.0" encoding="utf-8"?>
<calcChain xmlns="http://schemas.openxmlformats.org/spreadsheetml/2006/main">
  <c r="Q78" i="8"/>
  <c r="P78"/>
  <c r="O78"/>
  <c r="T77"/>
  <c r="N77"/>
  <c r="R77" s="1"/>
  <c r="V77" s="1"/>
  <c r="R76"/>
  <c r="V76" s="1"/>
  <c r="N76"/>
  <c r="X75"/>
  <c r="N75"/>
  <c r="R75" s="1"/>
  <c r="V75" s="1"/>
  <c r="M74"/>
  <c r="M73" s="1"/>
  <c r="K74"/>
  <c r="S73"/>
  <c r="K73"/>
  <c r="N72"/>
  <c r="R72" s="1"/>
  <c r="N71"/>
  <c r="R71" s="1"/>
  <c r="V71" s="1"/>
  <c r="S70"/>
  <c r="M70"/>
  <c r="L70"/>
  <c r="K70"/>
  <c r="S69"/>
  <c r="L69"/>
  <c r="N68"/>
  <c r="R68" s="1"/>
  <c r="V68" s="1"/>
  <c r="N67"/>
  <c r="R67" s="1"/>
  <c r="V67" s="1"/>
  <c r="N66"/>
  <c r="R66" s="1"/>
  <c r="V66" s="1"/>
  <c r="R65"/>
  <c r="V65" s="1"/>
  <c r="N65"/>
  <c r="T64"/>
  <c r="N64"/>
  <c r="R64" s="1"/>
  <c r="V64" s="1"/>
  <c r="R63"/>
  <c r="V63" s="1"/>
  <c r="N63"/>
  <c r="W62"/>
  <c r="U62"/>
  <c r="S62"/>
  <c r="K62"/>
  <c r="W61"/>
  <c r="U61"/>
  <c r="S61"/>
  <c r="N60"/>
  <c r="R60" s="1"/>
  <c r="V60" s="1"/>
  <c r="R59"/>
  <c r="V59" s="1"/>
  <c r="N59"/>
  <c r="T58"/>
  <c r="N58"/>
  <c r="R58" s="1"/>
  <c r="V58" s="1"/>
  <c r="R57"/>
  <c r="V57" s="1"/>
  <c r="N57"/>
  <c r="X56"/>
  <c r="N56"/>
  <c r="R56" s="1"/>
  <c r="V56" s="1"/>
  <c r="N55"/>
  <c r="R55" s="1"/>
  <c r="V55" s="1"/>
  <c r="N54"/>
  <c r="R54" s="1"/>
  <c r="V54" s="1"/>
  <c r="N53"/>
  <c r="R53" s="1"/>
  <c r="V53" s="1"/>
  <c r="N52"/>
  <c r="R52" s="1"/>
  <c r="V52" s="1"/>
  <c r="R51"/>
  <c r="V51" s="1"/>
  <c r="N51"/>
  <c r="T50"/>
  <c r="N50"/>
  <c r="R50" s="1"/>
  <c r="V50" s="1"/>
  <c r="L49"/>
  <c r="W48"/>
  <c r="W47" s="1"/>
  <c r="W78" s="1"/>
  <c r="U48"/>
  <c r="S48"/>
  <c r="S47" s="1"/>
  <c r="K48"/>
  <c r="N48" s="1"/>
  <c r="R48" s="1"/>
  <c r="M47"/>
  <c r="N46"/>
  <c r="R46" s="1"/>
  <c r="V46" s="1"/>
  <c r="N45"/>
  <c r="R45" s="1"/>
  <c r="N44"/>
  <c r="R44" s="1"/>
  <c r="N43"/>
  <c r="R43" s="1"/>
  <c r="V43" s="1"/>
  <c r="X42"/>
  <c r="T42"/>
  <c r="N42"/>
  <c r="R42" s="1"/>
  <c r="V42" s="1"/>
  <c r="N41"/>
  <c r="R41" s="1"/>
  <c r="S40"/>
  <c r="N40"/>
  <c r="R40" s="1"/>
  <c r="V40" s="1"/>
  <c r="N39"/>
  <c r="R39" s="1"/>
  <c r="V39" s="1"/>
  <c r="N38"/>
  <c r="R38" s="1"/>
  <c r="V38" s="1"/>
  <c r="N37"/>
  <c r="R37" s="1"/>
  <c r="V37" s="1"/>
  <c r="N36"/>
  <c r="R36" s="1"/>
  <c r="V36" s="1"/>
  <c r="T35"/>
  <c r="N35"/>
  <c r="R35" s="1"/>
  <c r="V35" s="1"/>
  <c r="N34"/>
  <c r="R34" s="1"/>
  <c r="V34" s="1"/>
  <c r="X33"/>
  <c r="N33"/>
  <c r="R33" s="1"/>
  <c r="V33" s="1"/>
  <c r="P30"/>
  <c r="O30"/>
  <c r="O79" s="1"/>
  <c r="M30"/>
  <c r="L30"/>
  <c r="N29"/>
  <c r="R29" s="1"/>
  <c r="V29" s="1"/>
  <c r="X28"/>
  <c r="T28"/>
  <c r="N28"/>
  <c r="R28" s="1"/>
  <c r="V28" s="1"/>
  <c r="N27"/>
  <c r="R27" s="1"/>
  <c r="W26"/>
  <c r="W25" s="1"/>
  <c r="W30" s="1"/>
  <c r="W79" s="1"/>
  <c r="U26"/>
  <c r="S26"/>
  <c r="K26"/>
  <c r="N26" s="1"/>
  <c r="R26" s="1"/>
  <c r="U25"/>
  <c r="U30" s="1"/>
  <c r="S25"/>
  <c r="Q25"/>
  <c r="Q30" s="1"/>
  <c r="Q79" s="1"/>
  <c r="N24"/>
  <c r="R24" s="1"/>
  <c r="N23"/>
  <c r="R23" s="1"/>
  <c r="N22"/>
  <c r="R22" s="1"/>
  <c r="V22" s="1"/>
  <c r="X21"/>
  <c r="T21"/>
  <c r="N21"/>
  <c r="R21" s="1"/>
  <c r="V21" s="1"/>
  <c r="N20"/>
  <c r="R20" s="1"/>
  <c r="N19"/>
  <c r="R19" s="1"/>
  <c r="N18"/>
  <c r="R18" s="1"/>
  <c r="V18" s="1"/>
  <c r="X17"/>
  <c r="N17"/>
  <c r="R17" s="1"/>
  <c r="V17" s="1"/>
  <c r="N16"/>
  <c r="R16" s="1"/>
  <c r="N15"/>
  <c r="R15" s="1"/>
  <c r="N14"/>
  <c r="R14" s="1"/>
  <c r="V14" s="1"/>
  <c r="T17" l="1"/>
  <c r="K47"/>
  <c r="X60"/>
  <c r="X66"/>
  <c r="T68"/>
  <c r="X46"/>
  <c r="X37"/>
  <c r="T39"/>
  <c r="T46"/>
  <c r="X52"/>
  <c r="T54"/>
  <c r="N74"/>
  <c r="R74" s="1"/>
  <c r="V74" s="1"/>
  <c r="P79"/>
  <c r="X26"/>
  <c r="T26"/>
  <c r="X45"/>
  <c r="T45"/>
  <c r="V45"/>
  <c r="N49"/>
  <c r="R49" s="1"/>
  <c r="L78"/>
  <c r="L79" s="1"/>
  <c r="V19"/>
  <c r="T19"/>
  <c r="X19"/>
  <c r="X41"/>
  <c r="T41"/>
  <c r="V41"/>
  <c r="M69"/>
  <c r="V26"/>
  <c r="V23"/>
  <c r="T23"/>
  <c r="X23"/>
  <c r="X48"/>
  <c r="T48"/>
  <c r="V48"/>
  <c r="V15"/>
  <c r="T15"/>
  <c r="X15"/>
  <c r="T24"/>
  <c r="X24"/>
  <c r="V24"/>
  <c r="T27"/>
  <c r="X27"/>
  <c r="V27"/>
  <c r="V44"/>
  <c r="T44"/>
  <c r="X44"/>
  <c r="N62"/>
  <c r="R62" s="1"/>
  <c r="K61"/>
  <c r="N61" s="1"/>
  <c r="R61" s="1"/>
  <c r="T16"/>
  <c r="X16"/>
  <c r="V16"/>
  <c r="S30"/>
  <c r="T20"/>
  <c r="X20"/>
  <c r="V20"/>
  <c r="V72"/>
  <c r="T72"/>
  <c r="X72"/>
  <c r="T36"/>
  <c r="X36"/>
  <c r="X51"/>
  <c r="T51"/>
  <c r="X55"/>
  <c r="T55"/>
  <c r="X59"/>
  <c r="T59"/>
  <c r="T65"/>
  <c r="X65"/>
  <c r="X74"/>
  <c r="T74"/>
  <c r="N73"/>
  <c r="R73" s="1"/>
  <c r="X14"/>
  <c r="T14"/>
  <c r="X18"/>
  <c r="T18"/>
  <c r="X22"/>
  <c r="T22"/>
  <c r="X29"/>
  <c r="T29"/>
  <c r="T43"/>
  <c r="X43"/>
  <c r="U47"/>
  <c r="U78" s="1"/>
  <c r="U79" s="1"/>
  <c r="N70"/>
  <c r="R70" s="1"/>
  <c r="K69"/>
  <c r="N69" s="1"/>
  <c r="R69" s="1"/>
  <c r="X71"/>
  <c r="T71"/>
  <c r="K25"/>
  <c r="T33"/>
  <c r="T37"/>
  <c r="X40"/>
  <c r="M78"/>
  <c r="M79" s="1"/>
  <c r="T52"/>
  <c r="T56"/>
  <c r="T60"/>
  <c r="T66"/>
  <c r="T75"/>
  <c r="X34"/>
  <c r="T34"/>
  <c r="X38"/>
  <c r="T38"/>
  <c r="T53"/>
  <c r="X53"/>
  <c r="T57"/>
  <c r="X57"/>
  <c r="X63"/>
  <c r="T63"/>
  <c r="X67"/>
  <c r="T67"/>
  <c r="T76"/>
  <c r="X76"/>
  <c r="X35"/>
  <c r="X39"/>
  <c r="T40"/>
  <c r="K78"/>
  <c r="X50"/>
  <c r="X54"/>
  <c r="X58"/>
  <c r="X64"/>
  <c r="X68"/>
  <c r="X77"/>
  <c r="N47"/>
  <c r="R47" s="1"/>
  <c r="R78" s="1"/>
  <c r="S78"/>
  <c r="V62" l="1"/>
  <c r="X62"/>
  <c r="T62"/>
  <c r="V47"/>
  <c r="X47"/>
  <c r="T47"/>
  <c r="V70"/>
  <c r="T70"/>
  <c r="X70"/>
  <c r="V61"/>
  <c r="X61"/>
  <c r="T61"/>
  <c r="T49"/>
  <c r="X49"/>
  <c r="V49"/>
  <c r="S79"/>
  <c r="V78"/>
  <c r="X78"/>
  <c r="T78"/>
  <c r="N25"/>
  <c r="K30"/>
  <c r="K79" s="1"/>
  <c r="T69"/>
  <c r="X69"/>
  <c r="V69"/>
  <c r="V73"/>
  <c r="T73"/>
  <c r="X73"/>
  <c r="N78"/>
  <c r="R25" l="1"/>
  <c r="N30"/>
  <c r="N79" s="1"/>
  <c r="X25" l="1"/>
  <c r="T25"/>
  <c r="V25"/>
  <c r="R30"/>
  <c r="V30" l="1"/>
  <c r="X30"/>
  <c r="T30"/>
  <c r="R79"/>
  <c r="X79" l="1"/>
  <c r="T79"/>
  <c r="V79"/>
</calcChain>
</file>

<file path=xl/sharedStrings.xml><?xml version="1.0" encoding="utf-8"?>
<sst xmlns="http://schemas.openxmlformats.org/spreadsheetml/2006/main" count="609" uniqueCount="142">
  <si>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</si>
  <si>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</si>
  <si>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</si>
  <si>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</si>
  <si>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</si>
  <si>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</si>
  <si>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</si>
  <si>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</si>
  <si>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</si>
  <si>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</si>
  <si>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</si>
  <si>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</si>
  <si>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</si>
  <si>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</si>
  <si>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</si>
  <si>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</si>
  <si>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</si>
  <si>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</si>
  <si>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</si>
  <si>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</si>
  <si>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</si>
  <si>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</si>
  <si>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</si>
  <si>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</si>
  <si>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</si>
  <si>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</si>
  <si>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</si>
  <si>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</si>
  <si>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</si>
  <si>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</si>
  <si>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</si>
  <si>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</si>
  <si>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</si>
  <si>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</si>
  <si>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</si>
  <si>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</si>
  <si>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</si>
  <si>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</si>
  <si>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</si>
  <si>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</si>
  <si>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</si>
  <si>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</si>
  <si>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</si>
  <si>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</si>
  <si>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</si>
  <si>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</si>
  <si>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</si>
  <si>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</si>
  <si>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</si>
  <si>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Julgamento de Causas na Justiça Estadual do 1° Grau</t>
  </si>
  <si>
    <t>1</t>
  </si>
  <si>
    <t>100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</si>
  <si>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</si>
  <si>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</si>
  <si>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</si>
  <si>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</si>
  <si>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</si>
  <si>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</si>
  <si>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</si>
  <si>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</si>
  <si>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</si>
  <si>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</si>
  <si>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</si>
  <si>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</si>
  <si>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</si>
  <si>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</si>
  <si>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</si>
  <si>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</si>
  <si>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</si>
  <si>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</si>
  <si>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</si>
  <si>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</si>
  <si>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</si>
  <si>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</si>
  <si>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</si>
  <si>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</si>
  <si>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</si>
  <si>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</si>
  <si>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</si>
  <si>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</si>
  <si>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</si>
  <si>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</si>
  <si>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</si>
  <si>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</si>
  <si>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</si>
  <si>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</si>
  <si>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</si>
  <si>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</si>
  <si>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</si>
  <si>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</si>
  <si>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</si>
  <si>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</si>
  <si>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</si>
  <si>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</si>
  <si>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</si>
  <si>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</si>
  <si>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</si>
  <si>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</si>
  <si>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</si>
  <si>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</si>
  <si>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</si>
  <si>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</si>
  <si>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</si>
  <si>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</si>
  <si>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</si>
  <si>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</si>
  <si>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</si>
  <si>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</si>
  <si>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</si>
  <si>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</si>
  <si>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</si>
  <si>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</si>
  <si>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</si>
  <si>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</si>
  <si>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</si>
  <si>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</si>
  <si>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</si>
  <si>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</si>
  <si>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</si>
  <si>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</si>
  <si>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</si>
  <si>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</si>
  <si>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</si>
  <si>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</si>
  <si>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</si>
  <si>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</si>
  <si>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</si>
  <si>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</si>
  <si>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</si>
  <si>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Mês de Referência: 04/2023</t>
  </si>
  <si>
    <t>Data da Publicação: 19/05/2023</t>
  </si>
  <si>
    <t>Retificado: 07/06/2023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</si>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</sst>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</fills>
  <borders count="1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7" borderId="13" xfId="0" applyNumberFormat="1" applyFont="1" applyFill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4" fontId="6" fillId="10" borderId="11" xfId="0" applyNumberFormat="1" applyFont="1" applyFill="1" applyBorder="1" applyAlignment="1">
      <alignment horizontal="center" vertical="center" wrapText="1"/>
    </xf>
    <xf numFmtId="164" fontId="6" fillId="10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0" fontId="3" fillId="2" borderId="17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3" fillId="5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6" fontId="3" fillId="8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1" Type="http://schemas.openxmlformats.org/officeDocument/2006/relationships/worksheet" Target="worksheets/sheet1.xml"/><Relationship Id="rId24" Type="http://schemas.openxmlformats.org/officeDocument/2006/relationships/theme" Target="theme/theme1.xml"/><Relationship Id="rId23" Type="http://customschemas.google.com/relationships/workbookmetadata" Target="metadata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72"/>
  <sheetViews>
    <sheetView tabSelected="1" workbookViewId="0">
      <selection activeCell="I15" sqref="I15"/>
    </sheetView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>
      <c r="A1" s="87" t="s">
        <v>0</v>
      </c>
      <c r="B1" s="83"/>
      <c r="C1" s="83"/>
      <c r="D1" s="83"/>
      <c r="E1" s="83"/>
      <c r="F1" s="78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91" t="s">
        <v>1</v>
      </c>
      <c r="B2" s="92"/>
      <c r="C2" s="92"/>
      <c r="D2" s="92"/>
      <c r="E2" s="92"/>
      <c r="F2" s="93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91" t="s">
        <v>2</v>
      </c>
      <c r="B3" s="92"/>
      <c r="C3" s="92"/>
      <c r="D3" s="92"/>
      <c r="E3" s="92"/>
      <c r="F3" s="93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87" t="s">
        <v>122</v>
      </c>
      <c r="B4" s="83"/>
      <c r="C4" s="83"/>
      <c r="D4" s="83"/>
      <c r="E4" s="83"/>
      <c r="F4" s="78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87" t="s">
        <v>129</v>
      </c>
      <c r="B6" s="83"/>
      <c r="C6" s="83"/>
      <c r="D6" s="83"/>
      <c r="E6" s="83"/>
      <c r="F6" s="78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87" t="s">
        <v>130</v>
      </c>
      <c r="B7" s="83"/>
      <c r="C7" s="83"/>
      <c r="D7" s="83"/>
      <c r="E7" s="83"/>
      <c r="F7" s="78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90" t="s">
        <v>131</v>
      </c>
      <c r="B8" s="89"/>
      <c r="C8" s="89"/>
      <c r="D8" s="89"/>
      <c r="E8" s="89"/>
      <c r="F8" s="89"/>
      <c r="G8" s="1"/>
      <c r="H8" s="2"/>
      <c r="I8" s="2"/>
      <c r="J8" s="73"/>
      <c r="K8" s="1"/>
      <c r="L8" s="1"/>
      <c r="M8" s="1"/>
      <c r="N8" s="1"/>
      <c r="O8" s="1"/>
      <c r="P8" s="1"/>
      <c r="Q8" s="1"/>
      <c r="R8" s="1"/>
      <c r="S8" s="1"/>
      <c r="T8" s="1"/>
      <c r="U8" s="74"/>
      <c r="V8" s="5"/>
      <c r="W8" s="5"/>
      <c r="X8" s="5"/>
      <c r="Y8" s="5"/>
      <c r="Z8" s="5"/>
      <c r="AA8" s="5"/>
    </row>
    <row r="9" spans="1:27" ht="14.25" customHeight="1">
      <c r="A9" s="88" t="s">
        <v>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59"/>
      <c r="K10" s="1"/>
      <c r="L10" s="1"/>
      <c r="M10" s="1"/>
      <c r="N10" s="1"/>
      <c r="O10" s="1"/>
      <c r="P10" s="1"/>
      <c r="Q10" s="1"/>
      <c r="R10" s="1"/>
      <c r="S10" s="1"/>
      <c r="T10" s="1"/>
      <c r="U10" s="60"/>
      <c r="V10" s="1"/>
      <c r="W10" s="8"/>
      <c r="X10" s="1"/>
      <c r="Y10" s="5"/>
      <c r="Z10" s="5"/>
      <c r="AA10" s="5"/>
    </row>
    <row r="11" spans="1:27" ht="14.25" customHeight="1">
      <c r="A11" s="77" t="s">
        <v>5</v>
      </c>
      <c r="B11" s="83"/>
      <c r="C11" s="83"/>
      <c r="D11" s="83"/>
      <c r="E11" s="83"/>
      <c r="F11" s="83"/>
      <c r="G11" s="83"/>
      <c r="H11" s="83"/>
      <c r="I11" s="83"/>
      <c r="J11" s="78"/>
      <c r="K11" s="79" t="s">
        <v>6</v>
      </c>
      <c r="L11" s="77" t="s">
        <v>7</v>
      </c>
      <c r="M11" s="78"/>
      <c r="N11" s="79" t="s">
        <v>8</v>
      </c>
      <c r="O11" s="79" t="s">
        <v>9</v>
      </c>
      <c r="P11" s="77" t="s">
        <v>10</v>
      </c>
      <c r="Q11" s="78"/>
      <c r="R11" s="79" t="s">
        <v>11</v>
      </c>
      <c r="S11" s="77" t="s">
        <v>12</v>
      </c>
      <c r="T11" s="83"/>
      <c r="U11" s="83"/>
      <c r="V11" s="83"/>
      <c r="W11" s="83"/>
      <c r="X11" s="78"/>
      <c r="Y11" s="5"/>
      <c r="Z11" s="5"/>
      <c r="AA11" s="5"/>
    </row>
    <row r="12" spans="1:27" ht="14.25" customHeight="1">
      <c r="A12" s="77" t="s">
        <v>13</v>
      </c>
      <c r="B12" s="78"/>
      <c r="C12" s="79" t="s">
        <v>14</v>
      </c>
      <c r="D12" s="79" t="s">
        <v>15</v>
      </c>
      <c r="E12" s="77" t="s">
        <v>16</v>
      </c>
      <c r="F12" s="78"/>
      <c r="G12" s="79" t="s">
        <v>17</v>
      </c>
      <c r="H12" s="77" t="s">
        <v>18</v>
      </c>
      <c r="I12" s="78"/>
      <c r="J12" s="81" t="s">
        <v>19</v>
      </c>
      <c r="K12" s="80"/>
      <c r="L12" s="9" t="s">
        <v>20</v>
      </c>
      <c r="M12" s="9" t="s">
        <v>21</v>
      </c>
      <c r="N12" s="80"/>
      <c r="O12" s="80"/>
      <c r="P12" s="10" t="s">
        <v>22</v>
      </c>
      <c r="Q12" s="10" t="s">
        <v>23</v>
      </c>
      <c r="R12" s="80"/>
      <c r="S12" s="11" t="s">
        <v>24</v>
      </c>
      <c r="T12" s="12" t="s">
        <v>25</v>
      </c>
      <c r="U12" s="11" t="s">
        <v>26</v>
      </c>
      <c r="V12" s="13" t="s">
        <v>25</v>
      </c>
      <c r="W12" s="14" t="s">
        <v>27</v>
      </c>
      <c r="X12" s="13" t="s">
        <v>25</v>
      </c>
      <c r="Y12" s="5"/>
      <c r="Z12" s="5"/>
      <c r="AA12" s="5"/>
    </row>
    <row r="13" spans="1:27" ht="31.5" customHeight="1">
      <c r="A13" s="11" t="s">
        <v>28</v>
      </c>
      <c r="B13" s="11" t="s">
        <v>16</v>
      </c>
      <c r="C13" s="80"/>
      <c r="D13" s="80"/>
      <c r="E13" s="10" t="s">
        <v>29</v>
      </c>
      <c r="F13" s="10" t="s">
        <v>30</v>
      </c>
      <c r="G13" s="80"/>
      <c r="H13" s="10" t="s">
        <v>28</v>
      </c>
      <c r="I13" s="10" t="s">
        <v>16</v>
      </c>
      <c r="J13" s="80"/>
      <c r="K13" s="11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1" t="s">
        <v>38</v>
      </c>
      <c r="S13" s="15" t="s">
        <v>39</v>
      </c>
      <c r="T13" s="16" t="s">
        <v>40</v>
      </c>
      <c r="U13" s="15" t="s">
        <v>41</v>
      </c>
      <c r="V13" s="16" t="s">
        <v>42</v>
      </c>
      <c r="W13" s="14" t="s">
        <v>43</v>
      </c>
      <c r="X13" s="16" t="s">
        <v>44</v>
      </c>
      <c r="Y13" s="5"/>
      <c r="Z13" s="5"/>
      <c r="AA13" s="5"/>
    </row>
    <row r="14" spans="1:27" ht="63" customHeight="1">
      <c r="A14" s="17" t="s">
        <v>45</v>
      </c>
      <c r="B14" s="28" t="s">
        <v>46</v>
      </c>
      <c r="C14" s="28" t="s">
        <v>47</v>
      </c>
      <c r="D14" s="28" t="s">
        <v>48</v>
      </c>
      <c r="E14" s="71" t="s">
        <v>84</v>
      </c>
      <c r="F14" s="28" t="s">
        <v>49</v>
      </c>
      <c r="G14" s="28" t="s">
        <v>50</v>
      </c>
      <c r="H14" s="71" t="s">
        <v>123</v>
      </c>
      <c r="I14" s="71" t="s">
        <v>132</v>
      </c>
      <c r="J14" s="75">
        <v>3</v>
      </c>
      <c r="K14" s="66">
        <v>2000000</v>
      </c>
      <c r="L14" s="62">
        <v>631198.02</v>
      </c>
      <c r="M14" s="62">
        <v>631198.02</v>
      </c>
      <c r="N14" s="21">
        <f t="shared" ref="N14:N29" si="0">K14+L14-M14</f>
        <v>2000000</v>
      </c>
      <c r="O14" s="22"/>
      <c r="P14" s="22"/>
      <c r="Q14" s="22"/>
      <c r="R14" s="21">
        <f t="shared" ref="R14:R29" si="1">N14-O14+P14+Q14</f>
        <v>2000000</v>
      </c>
      <c r="S14" s="62">
        <v>0</v>
      </c>
      <c r="T14" s="23">
        <f t="shared" ref="T14:T30" si="2">IF(R14&gt;0,S14/R14,0)</f>
        <v>0</v>
      </c>
      <c r="U14" s="63">
        <v>0</v>
      </c>
      <c r="V14" s="23">
        <f t="shared" ref="V14:V30" si="3">IF(R14&gt;0,U14/R14,0)</f>
        <v>0</v>
      </c>
      <c r="W14" s="62">
        <v>0</v>
      </c>
      <c r="X14" s="23">
        <f t="shared" ref="X14:X30" si="4">IF(R14&gt;0,W14/R14,0)</f>
        <v>0</v>
      </c>
      <c r="Y14" s="5"/>
      <c r="Z14" s="5"/>
      <c r="AA14" s="5"/>
    </row>
    <row r="15" spans="1:27" ht="63" customHeight="1">
      <c r="A15" s="17" t="s">
        <v>45</v>
      </c>
      <c r="B15" s="28" t="s">
        <v>46</v>
      </c>
      <c r="C15" s="28" t="s">
        <v>47</v>
      </c>
      <c r="D15" s="28" t="s">
        <v>52</v>
      </c>
      <c r="E15" s="71" t="s">
        <v>84</v>
      </c>
      <c r="F15" s="28" t="s">
        <v>53</v>
      </c>
      <c r="G15" s="28" t="s">
        <v>50</v>
      </c>
      <c r="H15" s="71" t="s">
        <v>123</v>
      </c>
      <c r="I15" s="71" t="s">
        <v>132</v>
      </c>
      <c r="J15" s="75">
        <v>3</v>
      </c>
      <c r="K15" s="66">
        <v>76324000</v>
      </c>
      <c r="L15" s="62">
        <v>0</v>
      </c>
      <c r="M15" s="62">
        <v>0</v>
      </c>
      <c r="N15" s="21">
        <f t="shared" si="0"/>
        <v>76324000</v>
      </c>
      <c r="O15" s="22"/>
      <c r="P15" s="22"/>
      <c r="Q15" s="22"/>
      <c r="R15" s="21">
        <f t="shared" si="1"/>
        <v>76324000</v>
      </c>
      <c r="S15" s="62">
        <v>25363179.699999999</v>
      </c>
      <c r="T15" s="23">
        <f t="shared" si="2"/>
        <v>0.33230936140663486</v>
      </c>
      <c r="U15" s="63">
        <v>25363179.699999999</v>
      </c>
      <c r="V15" s="23">
        <f t="shared" si="3"/>
        <v>0.33230936140663486</v>
      </c>
      <c r="W15" s="62">
        <v>25363179.699999999</v>
      </c>
      <c r="X15" s="23">
        <f t="shared" si="4"/>
        <v>0.33230936140663486</v>
      </c>
      <c r="Y15" s="25"/>
      <c r="Z15" s="5"/>
      <c r="AA15" s="5"/>
    </row>
    <row r="16" spans="1:27" ht="63" customHeight="1">
      <c r="A16" s="17" t="s">
        <v>45</v>
      </c>
      <c r="B16" s="28" t="s">
        <v>46</v>
      </c>
      <c r="C16" s="28" t="s">
        <v>47</v>
      </c>
      <c r="D16" s="28" t="s">
        <v>54</v>
      </c>
      <c r="E16" s="71" t="s">
        <v>84</v>
      </c>
      <c r="F16" s="28" t="s">
        <v>55</v>
      </c>
      <c r="G16" s="28" t="s">
        <v>50</v>
      </c>
      <c r="H16" s="71" t="s">
        <v>123</v>
      </c>
      <c r="I16" s="71" t="s">
        <v>132</v>
      </c>
      <c r="J16" s="26">
        <v>1</v>
      </c>
      <c r="K16" s="66">
        <v>461873000</v>
      </c>
      <c r="L16" s="62">
        <v>5466064.0599999996</v>
      </c>
      <c r="M16" s="62">
        <v>5466064.0599999996</v>
      </c>
      <c r="N16" s="21">
        <f t="shared" si="0"/>
        <v>461873000</v>
      </c>
      <c r="O16" s="22"/>
      <c r="P16" s="22"/>
      <c r="Q16" s="22"/>
      <c r="R16" s="21">
        <f t="shared" si="1"/>
        <v>461873000</v>
      </c>
      <c r="S16" s="62">
        <v>138736896.40000001</v>
      </c>
      <c r="T16" s="23">
        <f t="shared" si="2"/>
        <v>0.30037888423874098</v>
      </c>
      <c r="U16" s="64">
        <v>138736896.40000001</v>
      </c>
      <c r="V16" s="23">
        <f t="shared" si="3"/>
        <v>0.30037888423874098</v>
      </c>
      <c r="W16" s="62">
        <v>137482741</v>
      </c>
      <c r="X16" s="23">
        <f t="shared" si="4"/>
        <v>0.29766351572834959</v>
      </c>
      <c r="Y16" s="5"/>
      <c r="Z16" s="5"/>
      <c r="AA16" s="5"/>
    </row>
    <row r="17" spans="1:27" ht="63" customHeight="1">
      <c r="A17" s="17" t="s">
        <v>45</v>
      </c>
      <c r="B17" s="28" t="s">
        <v>46</v>
      </c>
      <c r="C17" s="28" t="s">
        <v>47</v>
      </c>
      <c r="D17" s="28" t="s">
        <v>56</v>
      </c>
      <c r="E17" s="71" t="s">
        <v>60</v>
      </c>
      <c r="F17" s="28" t="s">
        <v>57</v>
      </c>
      <c r="G17" s="28" t="s">
        <v>50</v>
      </c>
      <c r="H17" s="71" t="s">
        <v>123</v>
      </c>
      <c r="I17" s="71" t="s">
        <v>132</v>
      </c>
      <c r="J17" s="26">
        <v>1</v>
      </c>
      <c r="K17" s="65">
        <v>120000</v>
      </c>
      <c r="L17" s="66">
        <v>0</v>
      </c>
      <c r="M17" s="66">
        <v>0</v>
      </c>
      <c r="N17" s="31">
        <f t="shared" si="0"/>
        <v>120000</v>
      </c>
      <c r="O17" s="31"/>
      <c r="P17" s="31"/>
      <c r="Q17" s="31"/>
      <c r="R17" s="31">
        <f t="shared" si="1"/>
        <v>120000</v>
      </c>
      <c r="S17" s="67">
        <v>6480</v>
      </c>
      <c r="T17" s="33">
        <f t="shared" si="2"/>
        <v>5.3999999999999999E-2</v>
      </c>
      <c r="U17" s="64">
        <v>6480</v>
      </c>
      <c r="V17" s="33">
        <f t="shared" si="3"/>
        <v>5.3999999999999999E-2</v>
      </c>
      <c r="W17" s="66">
        <v>6480</v>
      </c>
      <c r="X17" s="33">
        <f t="shared" si="4"/>
        <v>5.3999999999999999E-2</v>
      </c>
      <c r="Y17" s="5"/>
      <c r="Z17" s="5"/>
      <c r="AA17" s="5"/>
    </row>
    <row r="18" spans="1:27" ht="63" customHeight="1">
      <c r="A18" s="17" t="s">
        <v>45</v>
      </c>
      <c r="B18" s="28" t="s">
        <v>46</v>
      </c>
      <c r="C18" s="28" t="s">
        <v>47</v>
      </c>
      <c r="D18" s="28" t="s">
        <v>59</v>
      </c>
      <c r="E18" s="28" t="s">
        <v>60</v>
      </c>
      <c r="F18" s="28" t="s">
        <v>61</v>
      </c>
      <c r="G18" s="28" t="s">
        <v>50</v>
      </c>
      <c r="H18" s="71" t="s">
        <v>123</v>
      </c>
      <c r="I18" s="71" t="s">
        <v>132</v>
      </c>
      <c r="J18" s="19">
        <v>3</v>
      </c>
      <c r="K18" s="66">
        <v>21351000</v>
      </c>
      <c r="L18" s="62">
        <v>0</v>
      </c>
      <c r="M18" s="62">
        <v>0</v>
      </c>
      <c r="N18" s="21">
        <f t="shared" si="0"/>
        <v>21351000</v>
      </c>
      <c r="O18" s="22"/>
      <c r="P18" s="22"/>
      <c r="Q18" s="22"/>
      <c r="R18" s="21">
        <f t="shared" si="1"/>
        <v>21351000</v>
      </c>
      <c r="S18" s="62">
        <v>7224548.1500000004</v>
      </c>
      <c r="T18" s="23">
        <f t="shared" si="2"/>
        <v>0.33837048147627746</v>
      </c>
      <c r="U18" s="63">
        <v>7224548.1500000004</v>
      </c>
      <c r="V18" s="23">
        <f t="shared" si="3"/>
        <v>0.33837048147627746</v>
      </c>
      <c r="W18" s="62">
        <v>7224548.1500000004</v>
      </c>
      <c r="X18" s="23">
        <f t="shared" si="4"/>
        <v>0.33837048147627746</v>
      </c>
      <c r="Y18" s="5"/>
      <c r="Z18" s="5"/>
      <c r="AA18" s="5"/>
    </row>
    <row r="19" spans="1:27" ht="63" customHeight="1">
      <c r="A19" s="17" t="s">
        <v>45</v>
      </c>
      <c r="B19" s="28" t="s">
        <v>46</v>
      </c>
      <c r="C19" s="28" t="s">
        <v>47</v>
      </c>
      <c r="D19" s="71" t="s">
        <v>106</v>
      </c>
      <c r="E19" s="28" t="s">
        <v>60</v>
      </c>
      <c r="F19" s="71" t="s">
        <v>124</v>
      </c>
      <c r="G19" s="28" t="s">
        <v>50</v>
      </c>
      <c r="H19" s="71" t="s">
        <v>123</v>
      </c>
      <c r="I19" s="71" t="s">
        <v>132</v>
      </c>
      <c r="J19" s="19">
        <v>3</v>
      </c>
      <c r="K19" s="66">
        <v>475000</v>
      </c>
      <c r="L19" s="62">
        <v>0</v>
      </c>
      <c r="M19" s="62">
        <v>0</v>
      </c>
      <c r="N19" s="21">
        <f t="shared" si="0"/>
        <v>475000</v>
      </c>
      <c r="O19" s="22"/>
      <c r="P19" s="22"/>
      <c r="Q19" s="22"/>
      <c r="R19" s="21">
        <f t="shared" si="1"/>
        <v>475000</v>
      </c>
      <c r="S19" s="62">
        <v>0</v>
      </c>
      <c r="T19" s="23">
        <f t="shared" si="2"/>
        <v>0</v>
      </c>
      <c r="U19" s="68">
        <v>0</v>
      </c>
      <c r="V19" s="23">
        <f t="shared" si="3"/>
        <v>0</v>
      </c>
      <c r="W19" s="62">
        <v>0</v>
      </c>
      <c r="X19" s="23">
        <f t="shared" si="4"/>
        <v>0</v>
      </c>
      <c r="Y19" s="5"/>
      <c r="Z19" s="5"/>
      <c r="AA19" s="5"/>
    </row>
    <row r="20" spans="1:27" ht="63" customHeight="1">
      <c r="A20" s="17" t="s">
        <v>45</v>
      </c>
      <c r="B20" s="28" t="s">
        <v>46</v>
      </c>
      <c r="C20" s="28" t="s">
        <v>47</v>
      </c>
      <c r="D20" s="28" t="s">
        <v>62</v>
      </c>
      <c r="E20" s="28" t="s">
        <v>60</v>
      </c>
      <c r="F20" s="71" t="s">
        <v>133</v>
      </c>
      <c r="G20" s="28" t="s">
        <v>50</v>
      </c>
      <c r="H20" s="71" t="s">
        <v>123</v>
      </c>
      <c r="I20" s="71" t="s">
        <v>132</v>
      </c>
      <c r="J20" s="26">
        <v>1</v>
      </c>
      <c r="K20" s="66">
        <v>111000000</v>
      </c>
      <c r="L20" s="62">
        <v>4622000</v>
      </c>
      <c r="M20" s="62">
        <v>4622000</v>
      </c>
      <c r="N20" s="21">
        <f t="shared" si="0"/>
        <v>111000000</v>
      </c>
      <c r="O20" s="22"/>
      <c r="P20" s="22"/>
      <c r="Q20" s="22"/>
      <c r="R20" s="21">
        <f t="shared" si="1"/>
        <v>111000000</v>
      </c>
      <c r="S20" s="62">
        <v>36164527.079999998</v>
      </c>
      <c r="T20" s="23">
        <f t="shared" si="2"/>
        <v>0.32580655027027028</v>
      </c>
      <c r="U20" s="64">
        <v>36164527.079999998</v>
      </c>
      <c r="V20" s="23">
        <f t="shared" si="3"/>
        <v>0.32580655027027028</v>
      </c>
      <c r="W20" s="62">
        <v>35163689.030000001</v>
      </c>
      <c r="X20" s="23">
        <f t="shared" si="4"/>
        <v>0.31678999126126128</v>
      </c>
      <c r="Y20" s="5"/>
      <c r="Z20" s="5"/>
      <c r="AA20" s="5"/>
    </row>
    <row r="21" spans="1:27" ht="63" customHeight="1">
      <c r="A21" s="17" t="s">
        <v>45</v>
      </c>
      <c r="B21" s="28" t="s">
        <v>46</v>
      </c>
      <c r="C21" s="28" t="s">
        <v>47</v>
      </c>
      <c r="D21" s="28" t="s">
        <v>63</v>
      </c>
      <c r="E21" s="28" t="s">
        <v>60</v>
      </c>
      <c r="F21" s="28" t="s">
        <v>64</v>
      </c>
      <c r="G21" s="28" t="s">
        <v>50</v>
      </c>
      <c r="H21" s="71" t="s">
        <v>123</v>
      </c>
      <c r="I21" s="71" t="s">
        <v>132</v>
      </c>
      <c r="J21" s="26">
        <v>1</v>
      </c>
      <c r="K21" s="66">
        <v>131100000</v>
      </c>
      <c r="L21" s="62">
        <v>433588</v>
      </c>
      <c r="M21" s="62">
        <v>433588</v>
      </c>
      <c r="N21" s="21">
        <f t="shared" si="0"/>
        <v>131100000</v>
      </c>
      <c r="O21" s="22"/>
      <c r="P21" s="22"/>
      <c r="Q21" s="22"/>
      <c r="R21" s="21">
        <f t="shared" si="1"/>
        <v>131100000</v>
      </c>
      <c r="S21" s="62">
        <v>45293021.75</v>
      </c>
      <c r="T21" s="23">
        <f t="shared" si="2"/>
        <v>0.34548452898550724</v>
      </c>
      <c r="U21" s="64">
        <v>45293021.75</v>
      </c>
      <c r="V21" s="23">
        <f t="shared" si="3"/>
        <v>0.34548452898550724</v>
      </c>
      <c r="W21" s="62">
        <v>44543904.969999999</v>
      </c>
      <c r="X21" s="23">
        <f t="shared" si="4"/>
        <v>0.33977044218154079</v>
      </c>
      <c r="Y21" s="5"/>
      <c r="Z21" s="5"/>
      <c r="AA21" s="5"/>
    </row>
    <row r="22" spans="1:27" ht="63" customHeight="1">
      <c r="A22" s="17" t="s">
        <v>45</v>
      </c>
      <c r="B22" s="28" t="s">
        <v>46</v>
      </c>
      <c r="C22" s="28" t="s">
        <v>47</v>
      </c>
      <c r="D22" s="28" t="s">
        <v>65</v>
      </c>
      <c r="E22" s="28" t="s">
        <v>60</v>
      </c>
      <c r="F22" s="28" t="s">
        <v>66</v>
      </c>
      <c r="G22" s="28" t="s">
        <v>50</v>
      </c>
      <c r="H22" s="71" t="s">
        <v>123</v>
      </c>
      <c r="I22" s="71" t="s">
        <v>132</v>
      </c>
      <c r="J22" s="19">
        <v>3</v>
      </c>
      <c r="K22" s="66">
        <v>24100000</v>
      </c>
      <c r="L22" s="62">
        <v>0</v>
      </c>
      <c r="M22" s="62">
        <v>0</v>
      </c>
      <c r="N22" s="21">
        <f t="shared" si="0"/>
        <v>24100000</v>
      </c>
      <c r="O22" s="22"/>
      <c r="P22" s="22"/>
      <c r="Q22" s="22"/>
      <c r="R22" s="21">
        <f t="shared" si="1"/>
        <v>24100000</v>
      </c>
      <c r="S22" s="62">
        <v>8156022.1799999997</v>
      </c>
      <c r="T22" s="23">
        <f t="shared" si="2"/>
        <v>0.33842415684647303</v>
      </c>
      <c r="U22" s="63">
        <v>8156022.1799999997</v>
      </c>
      <c r="V22" s="23">
        <f t="shared" si="3"/>
        <v>0.33842415684647303</v>
      </c>
      <c r="W22" s="62">
        <v>8156022.1799999997</v>
      </c>
      <c r="X22" s="23">
        <f t="shared" si="4"/>
        <v>0.33842415684647303</v>
      </c>
      <c r="Y22" s="5"/>
      <c r="Z22" s="5"/>
      <c r="AA22" s="5"/>
    </row>
    <row r="23" spans="1:27" ht="63" hidden="1" customHeight="1">
      <c r="A23" s="17" t="s">
        <v>45</v>
      </c>
      <c r="B23" s="28" t="s">
        <v>46</v>
      </c>
      <c r="C23" s="28" t="s">
        <v>67</v>
      </c>
      <c r="D23" s="28" t="s">
        <v>68</v>
      </c>
      <c r="E23" s="28" t="s">
        <v>60</v>
      </c>
      <c r="F23" s="28" t="s">
        <v>69</v>
      </c>
      <c r="G23" s="28" t="s">
        <v>50</v>
      </c>
      <c r="H23" s="28" t="s">
        <v>51</v>
      </c>
      <c r="I23" s="71" t="s">
        <v>132</v>
      </c>
      <c r="J23" s="19">
        <v>3</v>
      </c>
      <c r="K23" s="30"/>
      <c r="L23" s="20"/>
      <c r="M23" s="20"/>
      <c r="N23" s="21">
        <f t="shared" si="0"/>
        <v>0</v>
      </c>
      <c r="O23" s="22"/>
      <c r="P23" s="22"/>
      <c r="Q23" s="22"/>
      <c r="R23" s="21">
        <f t="shared" si="1"/>
        <v>0</v>
      </c>
      <c r="S23" s="20"/>
      <c r="T23" s="23">
        <f t="shared" si="2"/>
        <v>0</v>
      </c>
      <c r="U23" s="24"/>
      <c r="V23" s="23">
        <f t="shared" si="3"/>
        <v>0</v>
      </c>
      <c r="W23" s="20"/>
      <c r="X23" s="23">
        <f t="shared" si="4"/>
        <v>0</v>
      </c>
      <c r="Y23" s="5"/>
      <c r="Z23" s="5"/>
      <c r="AA23" s="5"/>
    </row>
    <row r="24" spans="1:27" ht="63" customHeight="1">
      <c r="A24" s="17" t="s">
        <v>45</v>
      </c>
      <c r="B24" s="28" t="s">
        <v>46</v>
      </c>
      <c r="C24" s="28" t="s">
        <v>70</v>
      </c>
      <c r="D24" s="28" t="s">
        <v>71</v>
      </c>
      <c r="E24" s="28" t="s">
        <v>60</v>
      </c>
      <c r="F24" s="28" t="s">
        <v>72</v>
      </c>
      <c r="G24" s="28" t="s">
        <v>50</v>
      </c>
      <c r="H24" s="71" t="s">
        <v>123</v>
      </c>
      <c r="I24" s="71" t="s">
        <v>132</v>
      </c>
      <c r="J24" s="26">
        <v>1</v>
      </c>
      <c r="K24" s="65">
        <v>120000</v>
      </c>
      <c r="L24" s="62">
        <v>0</v>
      </c>
      <c r="M24" s="62">
        <v>0</v>
      </c>
      <c r="N24" s="21">
        <f t="shared" si="0"/>
        <v>120000</v>
      </c>
      <c r="O24" s="21"/>
      <c r="P24" s="21"/>
      <c r="Q24" s="21"/>
      <c r="R24" s="21">
        <f t="shared" si="1"/>
        <v>120000</v>
      </c>
      <c r="S24" s="66">
        <v>18570</v>
      </c>
      <c r="T24" s="23">
        <f t="shared" si="2"/>
        <v>0.15475</v>
      </c>
      <c r="U24" s="64">
        <v>18570</v>
      </c>
      <c r="V24" s="23">
        <f t="shared" si="3"/>
        <v>0.15475</v>
      </c>
      <c r="W24" s="62">
        <v>18570</v>
      </c>
      <c r="X24" s="23">
        <f t="shared" si="4"/>
        <v>0.15475</v>
      </c>
      <c r="Y24" s="5"/>
      <c r="Z24" s="5"/>
      <c r="AA24" s="5"/>
    </row>
    <row r="25" spans="1:27" ht="63" customHeight="1">
      <c r="A25" s="17" t="s">
        <v>45</v>
      </c>
      <c r="B25" s="28" t="s">
        <v>46</v>
      </c>
      <c r="C25" s="28" t="s">
        <v>73</v>
      </c>
      <c r="D25" s="28" t="s">
        <v>74</v>
      </c>
      <c r="E25" s="71" t="s">
        <v>134</v>
      </c>
      <c r="F25" s="28" t="s">
        <v>75</v>
      </c>
      <c r="G25" s="71" t="s">
        <v>135</v>
      </c>
      <c r="H25" s="71" t="s">
        <v>123</v>
      </c>
      <c r="I25" s="71" t="s">
        <v>132</v>
      </c>
      <c r="J25" s="26">
        <v>1</v>
      </c>
      <c r="K25" s="66">
        <f>115250000-K26</f>
        <v>109500000</v>
      </c>
      <c r="L25" s="62">
        <v>13129000</v>
      </c>
      <c r="M25" s="62">
        <v>13129000</v>
      </c>
      <c r="N25" s="21">
        <f t="shared" si="0"/>
        <v>109500000</v>
      </c>
      <c r="O25" s="21"/>
      <c r="P25" s="21"/>
      <c r="Q25" s="21">
        <f>-9922000-20704500</f>
        <v>-30626500</v>
      </c>
      <c r="R25" s="21">
        <f t="shared" si="1"/>
        <v>78873500</v>
      </c>
      <c r="S25" s="62">
        <f>25798904.54-S26</f>
        <v>23988209.460000001</v>
      </c>
      <c r="T25" s="23">
        <f t="shared" si="2"/>
        <v>0.30413522234971191</v>
      </c>
      <c r="U25" s="64">
        <f>25798904.54-U26</f>
        <v>23988209.460000001</v>
      </c>
      <c r="V25" s="23">
        <f t="shared" si="3"/>
        <v>0.30413522234971191</v>
      </c>
      <c r="W25" s="62">
        <f>25798904.54-W26</f>
        <v>23988209.460000001</v>
      </c>
      <c r="X25" s="23">
        <f t="shared" si="4"/>
        <v>0.30413522234971191</v>
      </c>
      <c r="Y25" s="5"/>
      <c r="Z25" s="5"/>
      <c r="AA25" s="5"/>
    </row>
    <row r="26" spans="1:27" ht="63" customHeight="1">
      <c r="A26" s="17" t="s">
        <v>45</v>
      </c>
      <c r="B26" s="28" t="s">
        <v>46</v>
      </c>
      <c r="C26" s="28" t="s">
        <v>73</v>
      </c>
      <c r="D26" s="28" t="s">
        <v>74</v>
      </c>
      <c r="E26" s="71" t="s">
        <v>134</v>
      </c>
      <c r="F26" s="28" t="s">
        <v>75</v>
      </c>
      <c r="G26" s="71" t="s">
        <v>135</v>
      </c>
      <c r="H26" s="71" t="s">
        <v>123</v>
      </c>
      <c r="I26" s="71" t="s">
        <v>132</v>
      </c>
      <c r="J26" s="19">
        <v>3</v>
      </c>
      <c r="K26" s="66">
        <f>5750000</f>
        <v>5750000</v>
      </c>
      <c r="L26" s="62">
        <v>0</v>
      </c>
      <c r="M26" s="62">
        <v>0</v>
      </c>
      <c r="N26" s="21">
        <f t="shared" si="0"/>
        <v>5750000</v>
      </c>
      <c r="O26" s="21"/>
      <c r="P26" s="21"/>
      <c r="Q26" s="21"/>
      <c r="R26" s="21">
        <f t="shared" si="1"/>
        <v>5750000</v>
      </c>
      <c r="S26" s="62">
        <f>29245.49+1781449.59</f>
        <v>1810695.08</v>
      </c>
      <c r="T26" s="23">
        <f t="shared" si="2"/>
        <v>0.31490349217391306</v>
      </c>
      <c r="U26" s="63">
        <f>29245.49+1781449.59</f>
        <v>1810695.08</v>
      </c>
      <c r="V26" s="23">
        <f t="shared" si="3"/>
        <v>0.31490349217391306</v>
      </c>
      <c r="W26" s="62">
        <f>29245.49+1781449.59</f>
        <v>1810695.08</v>
      </c>
      <c r="X26" s="23">
        <f t="shared" si="4"/>
        <v>0.31490349217391306</v>
      </c>
      <c r="Y26" s="5"/>
      <c r="Z26" s="5"/>
      <c r="AA26" s="5"/>
    </row>
    <row r="27" spans="1:27" ht="63" hidden="1" customHeight="1">
      <c r="A27" s="17" t="s">
        <v>45</v>
      </c>
      <c r="B27" s="18" t="s">
        <v>46</v>
      </c>
      <c r="C27" s="18" t="s">
        <v>73</v>
      </c>
      <c r="D27" s="18" t="s">
        <v>74</v>
      </c>
      <c r="E27" s="18" t="s">
        <v>60</v>
      </c>
      <c r="F27" s="18" t="s">
        <v>75</v>
      </c>
      <c r="G27" s="18" t="s">
        <v>50</v>
      </c>
      <c r="H27" s="18" t="s">
        <v>76</v>
      </c>
      <c r="I27" s="71" t="s">
        <v>132</v>
      </c>
      <c r="J27" s="26">
        <v>1</v>
      </c>
      <c r="K27" s="20"/>
      <c r="L27" s="20"/>
      <c r="M27" s="20"/>
      <c r="N27" s="21">
        <f t="shared" si="0"/>
        <v>0</v>
      </c>
      <c r="O27" s="21"/>
      <c r="P27" s="21"/>
      <c r="Q27" s="21"/>
      <c r="R27" s="21">
        <f t="shared" si="1"/>
        <v>0</v>
      </c>
      <c r="S27" s="20"/>
      <c r="T27" s="23">
        <f t="shared" si="2"/>
        <v>0</v>
      </c>
      <c r="U27" s="27"/>
      <c r="V27" s="23">
        <f t="shared" si="3"/>
        <v>0</v>
      </c>
      <c r="W27" s="20"/>
      <c r="X27" s="23">
        <f t="shared" si="4"/>
        <v>0</v>
      </c>
      <c r="Y27" s="5"/>
      <c r="Z27" s="5"/>
      <c r="AA27" s="5"/>
    </row>
    <row r="28" spans="1:27" ht="63" customHeight="1">
      <c r="A28" s="17" t="s">
        <v>45</v>
      </c>
      <c r="B28" s="18" t="s">
        <v>46</v>
      </c>
      <c r="C28" s="18" t="s">
        <v>77</v>
      </c>
      <c r="D28" s="18" t="s">
        <v>78</v>
      </c>
      <c r="E28" s="61" t="s">
        <v>136</v>
      </c>
      <c r="F28" s="18" t="s">
        <v>79</v>
      </c>
      <c r="G28" s="18" t="s">
        <v>50</v>
      </c>
      <c r="H28" s="61" t="s">
        <v>123</v>
      </c>
      <c r="I28" s="71" t="s">
        <v>132</v>
      </c>
      <c r="J28" s="26">
        <v>1</v>
      </c>
      <c r="K28" s="62">
        <v>73000</v>
      </c>
      <c r="L28" s="62">
        <v>0</v>
      </c>
      <c r="M28" s="62">
        <v>0</v>
      </c>
      <c r="N28" s="21">
        <f t="shared" si="0"/>
        <v>73000</v>
      </c>
      <c r="O28" s="21"/>
      <c r="P28" s="21"/>
      <c r="Q28" s="21"/>
      <c r="R28" s="21">
        <f t="shared" si="1"/>
        <v>73000</v>
      </c>
      <c r="S28" s="62">
        <v>0</v>
      </c>
      <c r="T28" s="23">
        <f t="shared" si="2"/>
        <v>0</v>
      </c>
      <c r="U28" s="64">
        <v>0</v>
      </c>
      <c r="V28" s="23">
        <f t="shared" si="3"/>
        <v>0</v>
      </c>
      <c r="W28" s="62">
        <v>0</v>
      </c>
      <c r="X28" s="23">
        <f t="shared" si="4"/>
        <v>0</v>
      </c>
      <c r="Y28" s="5"/>
      <c r="Z28" s="5"/>
      <c r="AA28" s="5"/>
    </row>
    <row r="29" spans="1:27" ht="63" hidden="1" customHeight="1">
      <c r="A29" s="17" t="s">
        <v>45</v>
      </c>
      <c r="B29" s="18" t="s">
        <v>46</v>
      </c>
      <c r="C29" s="18" t="s">
        <v>77</v>
      </c>
      <c r="D29" s="18" t="s">
        <v>78</v>
      </c>
      <c r="E29" s="18" t="s">
        <v>60</v>
      </c>
      <c r="F29" s="18" t="s">
        <v>79</v>
      </c>
      <c r="G29" s="18" t="s">
        <v>50</v>
      </c>
      <c r="H29" s="18" t="s">
        <v>76</v>
      </c>
      <c r="I29" s="18" t="s">
        <v>58</v>
      </c>
      <c r="J29" s="26">
        <v>1</v>
      </c>
      <c r="K29" s="20"/>
      <c r="L29" s="20"/>
      <c r="M29" s="20"/>
      <c r="N29" s="21">
        <f t="shared" si="0"/>
        <v>0</v>
      </c>
      <c r="O29" s="21"/>
      <c r="P29" s="21"/>
      <c r="Q29" s="21"/>
      <c r="R29" s="21">
        <f t="shared" si="1"/>
        <v>0</v>
      </c>
      <c r="S29" s="20"/>
      <c r="T29" s="23">
        <f t="shared" si="2"/>
        <v>0</v>
      </c>
      <c r="U29" s="27"/>
      <c r="V29" s="23">
        <f t="shared" si="3"/>
        <v>0</v>
      </c>
      <c r="W29" s="20"/>
      <c r="X29" s="23">
        <f t="shared" si="4"/>
        <v>0</v>
      </c>
      <c r="Y29" s="5"/>
      <c r="Z29" s="5"/>
      <c r="AA29" s="5"/>
    </row>
    <row r="30" spans="1:27" ht="16.5" customHeight="1">
      <c r="A30" s="82" t="s">
        <v>80</v>
      </c>
      <c r="B30" s="83"/>
      <c r="C30" s="83"/>
      <c r="D30" s="83"/>
      <c r="E30" s="83"/>
      <c r="F30" s="83"/>
      <c r="G30" s="83"/>
      <c r="H30" s="83"/>
      <c r="I30" s="83"/>
      <c r="J30" s="78"/>
      <c r="K30" s="34">
        <f t="shared" ref="K30:N30" si="5">SUM(K14:K29)</f>
        <v>943786000</v>
      </c>
      <c r="L30" s="34">
        <f t="shared" si="5"/>
        <v>24281850.079999998</v>
      </c>
      <c r="M30" s="34">
        <f t="shared" si="5"/>
        <v>24281850.079999998</v>
      </c>
      <c r="N30" s="34">
        <f t="shared" si="5"/>
        <v>943786000</v>
      </c>
      <c r="O30" s="34">
        <f t="shared" ref="O30:P30" si="6">SUM(O14:O28)</f>
        <v>0</v>
      </c>
      <c r="P30" s="34">
        <f t="shared" si="6"/>
        <v>0</v>
      </c>
      <c r="Q30" s="34">
        <f t="shared" ref="Q30:S30" si="7">SUM(Q14:Q29)</f>
        <v>-30626500</v>
      </c>
      <c r="R30" s="34">
        <f t="shared" si="7"/>
        <v>913159500</v>
      </c>
      <c r="S30" s="34">
        <f t="shared" si="7"/>
        <v>286762149.79999995</v>
      </c>
      <c r="T30" s="35">
        <f t="shared" si="2"/>
        <v>0.31403292612079264</v>
      </c>
      <c r="U30" s="34">
        <f>SUM(U14:U29)</f>
        <v>286762149.79999995</v>
      </c>
      <c r="V30" s="35">
        <f t="shared" si="3"/>
        <v>0.31403292612079264</v>
      </c>
      <c r="W30" s="34">
        <f>SUM(W14:W29)</f>
        <v>283758039.56999999</v>
      </c>
      <c r="X30" s="35">
        <f t="shared" si="4"/>
        <v>0.31074312819392447</v>
      </c>
      <c r="Y30" s="5"/>
      <c r="Z30" s="5"/>
      <c r="AA30" s="5"/>
    </row>
    <row r="31" spans="1:27" ht="1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4"/>
      <c r="V31" s="35"/>
      <c r="W31" s="34"/>
      <c r="X31" s="35"/>
      <c r="Y31" s="5"/>
      <c r="Z31" s="5"/>
      <c r="AA31" s="5"/>
    </row>
    <row r="32" spans="1:27" ht="1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3"/>
      <c r="U32" s="38"/>
      <c r="V32" s="33"/>
      <c r="W32" s="38"/>
      <c r="X32" s="33"/>
      <c r="Y32" s="5"/>
      <c r="Z32" s="5"/>
      <c r="AA32" s="5"/>
    </row>
    <row r="33" spans="1:27" ht="54" customHeight="1">
      <c r="A33" s="17" t="s">
        <v>81</v>
      </c>
      <c r="B33" s="28" t="s">
        <v>82</v>
      </c>
      <c r="C33" s="28" t="s">
        <v>47</v>
      </c>
      <c r="D33" s="28" t="s">
        <v>83</v>
      </c>
      <c r="E33" s="28" t="s">
        <v>84</v>
      </c>
      <c r="F33" s="28" t="s">
        <v>85</v>
      </c>
      <c r="G33" s="28" t="s">
        <v>50</v>
      </c>
      <c r="H33" s="71" t="s">
        <v>125</v>
      </c>
      <c r="I33" s="71" t="s">
        <v>137</v>
      </c>
      <c r="J33" s="39">
        <v>4</v>
      </c>
      <c r="K33" s="69">
        <v>4000000</v>
      </c>
      <c r="L33" s="62">
        <v>0</v>
      </c>
      <c r="M33" s="62">
        <v>4000000</v>
      </c>
      <c r="N33" s="21">
        <f t="shared" ref="N33:N77" si="8">K33+L33-M33</f>
        <v>0</v>
      </c>
      <c r="O33" s="21"/>
      <c r="P33" s="21"/>
      <c r="Q33" s="21"/>
      <c r="R33" s="21">
        <f t="shared" ref="R33:R77" si="9">N33-O33+P33+Q33</f>
        <v>0</v>
      </c>
      <c r="S33" s="69">
        <v>0</v>
      </c>
      <c r="T33" s="23">
        <f t="shared" ref="T33:T79" si="10">IF(R33&gt;0,S33/R33,0)</f>
        <v>0</v>
      </c>
      <c r="U33" s="70">
        <v>0</v>
      </c>
      <c r="V33" s="23">
        <f t="shared" ref="V33:V79" si="11">IF(R33&gt;0,U33/R33,0)</f>
        <v>0</v>
      </c>
      <c r="W33" s="62">
        <v>0</v>
      </c>
      <c r="X33" s="23">
        <f t="shared" ref="X33:X79" si="12">IF(R33&gt;0,W33/R33,0)</f>
        <v>0</v>
      </c>
      <c r="Y33" s="5"/>
      <c r="Z33" s="5"/>
      <c r="AA33" s="5"/>
    </row>
    <row r="34" spans="1:27" ht="54" hidden="1" customHeight="1">
      <c r="A34" s="17" t="s">
        <v>81</v>
      </c>
      <c r="B34" s="28" t="s">
        <v>82</v>
      </c>
      <c r="C34" s="28" t="s">
        <v>47</v>
      </c>
      <c r="D34" s="28" t="s">
        <v>87</v>
      </c>
      <c r="E34" s="28" t="s">
        <v>84</v>
      </c>
      <c r="F34" s="28" t="s">
        <v>85</v>
      </c>
      <c r="G34" s="28" t="s">
        <v>50</v>
      </c>
      <c r="H34" s="28" t="s">
        <v>88</v>
      </c>
      <c r="I34" s="71" t="s">
        <v>137</v>
      </c>
      <c r="J34" s="19">
        <v>3</v>
      </c>
      <c r="K34" s="40"/>
      <c r="L34" s="20"/>
      <c r="M34" s="20"/>
      <c r="N34" s="21">
        <f t="shared" si="8"/>
        <v>0</v>
      </c>
      <c r="O34" s="21"/>
      <c r="P34" s="21"/>
      <c r="Q34" s="21"/>
      <c r="R34" s="21">
        <f t="shared" si="9"/>
        <v>0</v>
      </c>
      <c r="S34" s="40"/>
      <c r="T34" s="23">
        <f t="shared" si="10"/>
        <v>0</v>
      </c>
      <c r="U34" s="24"/>
      <c r="V34" s="23">
        <f t="shared" si="11"/>
        <v>0</v>
      </c>
      <c r="W34" s="20"/>
      <c r="X34" s="23">
        <f t="shared" si="12"/>
        <v>0</v>
      </c>
      <c r="Y34" s="5"/>
      <c r="Z34" s="5"/>
      <c r="AA34" s="5"/>
    </row>
    <row r="35" spans="1:27" ht="54" hidden="1" customHeight="1">
      <c r="A35" s="17" t="s">
        <v>81</v>
      </c>
      <c r="B35" s="28" t="s">
        <v>82</v>
      </c>
      <c r="C35" s="28" t="s">
        <v>47</v>
      </c>
      <c r="D35" s="28" t="s">
        <v>89</v>
      </c>
      <c r="E35" s="28" t="s">
        <v>84</v>
      </c>
      <c r="F35" s="28" t="s">
        <v>85</v>
      </c>
      <c r="G35" s="28" t="s">
        <v>50</v>
      </c>
      <c r="H35" s="28" t="s">
        <v>88</v>
      </c>
      <c r="I35" s="71" t="s">
        <v>137</v>
      </c>
      <c r="J35" s="39">
        <v>4</v>
      </c>
      <c r="K35" s="40"/>
      <c r="L35" s="20"/>
      <c r="M35" s="20"/>
      <c r="N35" s="21">
        <f t="shared" si="8"/>
        <v>0</v>
      </c>
      <c r="O35" s="21"/>
      <c r="P35" s="21"/>
      <c r="Q35" s="21"/>
      <c r="R35" s="21">
        <f t="shared" si="9"/>
        <v>0</v>
      </c>
      <c r="S35" s="40"/>
      <c r="T35" s="23">
        <f t="shared" si="10"/>
        <v>0</v>
      </c>
      <c r="U35" s="41"/>
      <c r="V35" s="23">
        <f t="shared" si="11"/>
        <v>0</v>
      </c>
      <c r="W35" s="20"/>
      <c r="X35" s="23">
        <f t="shared" si="12"/>
        <v>0</v>
      </c>
      <c r="Y35" s="5"/>
      <c r="Z35" s="5"/>
      <c r="AA35" s="5"/>
    </row>
    <row r="36" spans="1:27" ht="54" customHeight="1">
      <c r="A36" s="17" t="s">
        <v>81</v>
      </c>
      <c r="B36" s="28" t="s">
        <v>82</v>
      </c>
      <c r="C36" s="28" t="s">
        <v>47</v>
      </c>
      <c r="D36" s="71" t="s">
        <v>138</v>
      </c>
      <c r="E36" s="28" t="s">
        <v>84</v>
      </c>
      <c r="F36" s="28" t="s">
        <v>85</v>
      </c>
      <c r="G36" s="28" t="s">
        <v>50</v>
      </c>
      <c r="H36" s="71" t="s">
        <v>139</v>
      </c>
      <c r="I36" s="71" t="s">
        <v>137</v>
      </c>
      <c r="J36" s="19">
        <v>3</v>
      </c>
      <c r="K36" s="69">
        <v>0</v>
      </c>
      <c r="L36" s="62">
        <v>30090</v>
      </c>
      <c r="M36" s="62">
        <v>0</v>
      </c>
      <c r="N36" s="21">
        <f t="shared" si="8"/>
        <v>30090</v>
      </c>
      <c r="O36" s="21"/>
      <c r="P36" s="21"/>
      <c r="Q36" s="21"/>
      <c r="R36" s="21">
        <f t="shared" si="9"/>
        <v>30090</v>
      </c>
      <c r="S36" s="69">
        <v>30090</v>
      </c>
      <c r="T36" s="23">
        <f t="shared" si="10"/>
        <v>1</v>
      </c>
      <c r="U36" s="63">
        <v>0</v>
      </c>
      <c r="V36" s="23">
        <f t="shared" si="11"/>
        <v>0</v>
      </c>
      <c r="W36" s="62">
        <v>0</v>
      </c>
      <c r="X36" s="23">
        <f t="shared" si="12"/>
        <v>0</v>
      </c>
      <c r="Y36" s="5"/>
      <c r="Z36" s="5"/>
      <c r="AA36" s="5"/>
    </row>
    <row r="37" spans="1:27" ht="54" hidden="1" customHeight="1">
      <c r="A37" s="17" t="s">
        <v>81</v>
      </c>
      <c r="B37" s="28" t="s">
        <v>82</v>
      </c>
      <c r="C37" s="28" t="s">
        <v>47</v>
      </c>
      <c r="D37" s="28" t="s">
        <v>90</v>
      </c>
      <c r="E37" s="28" t="s">
        <v>84</v>
      </c>
      <c r="F37" s="28" t="s">
        <v>85</v>
      </c>
      <c r="G37" s="28" t="s">
        <v>50</v>
      </c>
      <c r="H37" s="28" t="s">
        <v>86</v>
      </c>
      <c r="I37" s="71" t="s">
        <v>137</v>
      </c>
      <c r="J37" s="19">
        <v>3</v>
      </c>
      <c r="K37" s="69">
        <v>0</v>
      </c>
      <c r="L37" s="20"/>
      <c r="M37" s="20"/>
      <c r="N37" s="21">
        <f t="shared" si="8"/>
        <v>0</v>
      </c>
      <c r="O37" s="21"/>
      <c r="P37" s="21"/>
      <c r="Q37" s="21"/>
      <c r="R37" s="21">
        <f t="shared" si="9"/>
        <v>0</v>
      </c>
      <c r="S37" s="40"/>
      <c r="T37" s="23">
        <f t="shared" si="10"/>
        <v>0</v>
      </c>
      <c r="U37" s="24"/>
      <c r="V37" s="23">
        <f t="shared" si="11"/>
        <v>0</v>
      </c>
      <c r="W37" s="20"/>
      <c r="X37" s="23">
        <f t="shared" si="12"/>
        <v>0</v>
      </c>
      <c r="Y37" s="5"/>
      <c r="Z37" s="5"/>
      <c r="AA37" s="5"/>
    </row>
    <row r="38" spans="1:27" ht="54" hidden="1" customHeight="1">
      <c r="A38" s="42" t="s">
        <v>81</v>
      </c>
      <c r="B38" s="28" t="s">
        <v>82</v>
      </c>
      <c r="C38" s="76" t="s">
        <v>47</v>
      </c>
      <c r="D38" s="76" t="s">
        <v>90</v>
      </c>
      <c r="E38" s="28" t="s">
        <v>84</v>
      </c>
      <c r="F38" s="28" t="s">
        <v>85</v>
      </c>
      <c r="G38" s="76" t="s">
        <v>50</v>
      </c>
      <c r="H38" s="76" t="s">
        <v>88</v>
      </c>
      <c r="I38" s="71" t="s">
        <v>137</v>
      </c>
      <c r="J38" s="43">
        <v>4</v>
      </c>
      <c r="K38" s="69">
        <v>0</v>
      </c>
      <c r="L38" s="44"/>
      <c r="M38" s="44"/>
      <c r="N38" s="21">
        <f t="shared" si="8"/>
        <v>0</v>
      </c>
      <c r="O38" s="45"/>
      <c r="P38" s="45"/>
      <c r="Q38" s="45"/>
      <c r="R38" s="21">
        <f t="shared" si="9"/>
        <v>0</v>
      </c>
      <c r="S38" s="46"/>
      <c r="T38" s="23">
        <f t="shared" si="10"/>
        <v>0</v>
      </c>
      <c r="U38" s="47"/>
      <c r="V38" s="23">
        <f t="shared" si="11"/>
        <v>0</v>
      </c>
      <c r="W38" s="44"/>
      <c r="X38" s="23">
        <f t="shared" si="12"/>
        <v>0</v>
      </c>
      <c r="Y38" s="5"/>
      <c r="Z38" s="5"/>
      <c r="AA38" s="5"/>
    </row>
    <row r="39" spans="1:27" ht="54" customHeight="1">
      <c r="A39" s="17" t="s">
        <v>81</v>
      </c>
      <c r="B39" s="28" t="s">
        <v>82</v>
      </c>
      <c r="C39" s="28" t="s">
        <v>47</v>
      </c>
      <c r="D39" s="28" t="s">
        <v>91</v>
      </c>
      <c r="E39" s="28" t="s">
        <v>84</v>
      </c>
      <c r="F39" s="28" t="s">
        <v>85</v>
      </c>
      <c r="G39" s="28" t="s">
        <v>50</v>
      </c>
      <c r="H39" s="71" t="s">
        <v>125</v>
      </c>
      <c r="I39" s="71" t="s">
        <v>137</v>
      </c>
      <c r="J39" s="19">
        <v>3</v>
      </c>
      <c r="K39" s="65">
        <v>0</v>
      </c>
      <c r="L39" s="62">
        <v>564822.43999999994</v>
      </c>
      <c r="M39" s="62">
        <v>0</v>
      </c>
      <c r="N39" s="21">
        <f t="shared" si="8"/>
        <v>564822.43999999994</v>
      </c>
      <c r="O39" s="22"/>
      <c r="P39" s="22"/>
      <c r="Q39" s="22"/>
      <c r="R39" s="21">
        <f t="shared" si="9"/>
        <v>564822.43999999994</v>
      </c>
      <c r="S39" s="67">
        <v>564822.43999999994</v>
      </c>
      <c r="T39" s="23">
        <f t="shared" si="10"/>
        <v>1</v>
      </c>
      <c r="U39" s="63">
        <v>517072.99</v>
      </c>
      <c r="V39" s="23">
        <f t="shared" si="11"/>
        <v>0.91546113146637742</v>
      </c>
      <c r="W39" s="62">
        <v>517072.99</v>
      </c>
      <c r="X39" s="23">
        <f t="shared" si="12"/>
        <v>0.91546113146637742</v>
      </c>
      <c r="Y39" s="5"/>
      <c r="Z39" s="5"/>
      <c r="AA39" s="5"/>
    </row>
    <row r="40" spans="1:27" ht="54" customHeight="1">
      <c r="A40" s="17" t="s">
        <v>81</v>
      </c>
      <c r="B40" s="28" t="s">
        <v>82</v>
      </c>
      <c r="C40" s="28" t="s">
        <v>47</v>
      </c>
      <c r="D40" s="28" t="s">
        <v>91</v>
      </c>
      <c r="E40" s="28" t="s">
        <v>84</v>
      </c>
      <c r="F40" s="28" t="s">
        <v>85</v>
      </c>
      <c r="G40" s="28" t="s">
        <v>50</v>
      </c>
      <c r="H40" s="71" t="s">
        <v>125</v>
      </c>
      <c r="I40" s="71" t="s">
        <v>137</v>
      </c>
      <c r="J40" s="39">
        <v>4</v>
      </c>
      <c r="K40" s="65">
        <v>0</v>
      </c>
      <c r="L40" s="62">
        <v>675695.59</v>
      </c>
      <c r="M40" s="62">
        <v>0</v>
      </c>
      <c r="N40" s="21">
        <f t="shared" si="8"/>
        <v>675695.59</v>
      </c>
      <c r="O40" s="22"/>
      <c r="P40" s="22"/>
      <c r="Q40" s="22"/>
      <c r="R40" s="21">
        <f t="shared" si="9"/>
        <v>675695.59</v>
      </c>
      <c r="S40" s="32">
        <f>305000+317820.79</f>
        <v>622820.79</v>
      </c>
      <c r="T40" s="23">
        <f t="shared" si="10"/>
        <v>0.92174760234856656</v>
      </c>
      <c r="U40" s="70">
        <v>0</v>
      </c>
      <c r="V40" s="23">
        <f t="shared" si="11"/>
        <v>0</v>
      </c>
      <c r="W40" s="62">
        <v>0</v>
      </c>
      <c r="X40" s="23">
        <f t="shared" si="12"/>
        <v>0</v>
      </c>
      <c r="Y40" s="5"/>
      <c r="Z40" s="5"/>
      <c r="AA40" s="5"/>
    </row>
    <row r="41" spans="1:27" ht="54" hidden="1" customHeight="1">
      <c r="A41" s="17" t="s">
        <v>81</v>
      </c>
      <c r="B41" s="28" t="s">
        <v>82</v>
      </c>
      <c r="C41" s="28" t="s">
        <v>47</v>
      </c>
      <c r="D41" s="28" t="s">
        <v>91</v>
      </c>
      <c r="E41" s="28" t="s">
        <v>84</v>
      </c>
      <c r="F41" s="28" t="s">
        <v>85</v>
      </c>
      <c r="G41" s="28" t="s">
        <v>50</v>
      </c>
      <c r="H41" s="28" t="s">
        <v>88</v>
      </c>
      <c r="I41" s="71" t="s">
        <v>137</v>
      </c>
      <c r="J41" s="19">
        <v>3</v>
      </c>
      <c r="K41" s="29"/>
      <c r="L41" s="20"/>
      <c r="M41" s="20"/>
      <c r="N41" s="21">
        <f t="shared" si="8"/>
        <v>0</v>
      </c>
      <c r="O41" s="22"/>
      <c r="P41" s="22"/>
      <c r="Q41" s="22"/>
      <c r="R41" s="21">
        <f t="shared" si="9"/>
        <v>0</v>
      </c>
      <c r="S41" s="32"/>
      <c r="T41" s="23">
        <f t="shared" si="10"/>
        <v>0</v>
      </c>
      <c r="U41" s="24"/>
      <c r="V41" s="23">
        <f t="shared" si="11"/>
        <v>0</v>
      </c>
      <c r="W41" s="20"/>
      <c r="X41" s="23">
        <f t="shared" si="12"/>
        <v>0</v>
      </c>
      <c r="Y41" s="5"/>
      <c r="Z41" s="5"/>
      <c r="AA41" s="5"/>
    </row>
    <row r="42" spans="1:27" ht="54" hidden="1" customHeight="1">
      <c r="A42" s="17" t="s">
        <v>81</v>
      </c>
      <c r="B42" s="28" t="s">
        <v>82</v>
      </c>
      <c r="C42" s="28" t="s">
        <v>47</v>
      </c>
      <c r="D42" s="71" t="s">
        <v>91</v>
      </c>
      <c r="E42" s="28" t="s">
        <v>84</v>
      </c>
      <c r="F42" s="28" t="s">
        <v>85</v>
      </c>
      <c r="G42" s="28" t="s">
        <v>50</v>
      </c>
      <c r="H42" s="71" t="s">
        <v>125</v>
      </c>
      <c r="I42" s="71" t="s">
        <v>137</v>
      </c>
      <c r="J42" s="39">
        <v>4</v>
      </c>
      <c r="K42" s="65"/>
      <c r="L42" s="62"/>
      <c r="M42" s="62"/>
      <c r="N42" s="21">
        <f t="shared" si="8"/>
        <v>0</v>
      </c>
      <c r="O42" s="22"/>
      <c r="P42" s="22"/>
      <c r="Q42" s="22"/>
      <c r="R42" s="21">
        <f t="shared" si="9"/>
        <v>0</v>
      </c>
      <c r="S42" s="67"/>
      <c r="T42" s="23">
        <f t="shared" si="10"/>
        <v>0</v>
      </c>
      <c r="U42" s="70"/>
      <c r="V42" s="23">
        <f t="shared" si="11"/>
        <v>0</v>
      </c>
      <c r="W42" s="66"/>
      <c r="X42" s="23">
        <f t="shared" si="12"/>
        <v>0</v>
      </c>
      <c r="Y42" s="5"/>
      <c r="Z42" s="5"/>
      <c r="AA42" s="5"/>
    </row>
    <row r="43" spans="1:27" ht="54" customHeight="1">
      <c r="A43" s="17" t="s">
        <v>81</v>
      </c>
      <c r="B43" s="28" t="s">
        <v>82</v>
      </c>
      <c r="C43" s="28" t="s">
        <v>47</v>
      </c>
      <c r="D43" s="71" t="s">
        <v>92</v>
      </c>
      <c r="E43" s="28" t="s">
        <v>84</v>
      </c>
      <c r="F43" s="71" t="s">
        <v>93</v>
      </c>
      <c r="G43" s="28" t="s">
        <v>50</v>
      </c>
      <c r="H43" s="71" t="s">
        <v>125</v>
      </c>
      <c r="I43" s="71" t="s">
        <v>137</v>
      </c>
      <c r="J43" s="39">
        <v>4</v>
      </c>
      <c r="K43" s="65">
        <v>16520000</v>
      </c>
      <c r="L43" s="62">
        <v>0</v>
      </c>
      <c r="M43" s="62">
        <v>10714766.68</v>
      </c>
      <c r="N43" s="21">
        <f t="shared" si="8"/>
        <v>5805233.3200000003</v>
      </c>
      <c r="O43" s="21"/>
      <c r="P43" s="21"/>
      <c r="Q43" s="21"/>
      <c r="R43" s="21">
        <f t="shared" si="9"/>
        <v>5805233.3200000003</v>
      </c>
      <c r="S43" s="65">
        <v>0</v>
      </c>
      <c r="T43" s="23">
        <f t="shared" si="10"/>
        <v>0</v>
      </c>
      <c r="U43" s="70">
        <v>0</v>
      </c>
      <c r="V43" s="23">
        <f t="shared" si="11"/>
        <v>0</v>
      </c>
      <c r="W43" s="62">
        <v>0</v>
      </c>
      <c r="X43" s="23">
        <f t="shared" si="12"/>
        <v>0</v>
      </c>
      <c r="Y43" s="5"/>
      <c r="Z43" s="5"/>
      <c r="AA43" s="5"/>
    </row>
    <row r="44" spans="1:27" ht="54" customHeight="1">
      <c r="A44" s="17" t="s">
        <v>81</v>
      </c>
      <c r="B44" s="28" t="s">
        <v>82</v>
      </c>
      <c r="C44" s="28" t="s">
        <v>47</v>
      </c>
      <c r="D44" s="71" t="s">
        <v>126</v>
      </c>
      <c r="E44" s="28" t="s">
        <v>84</v>
      </c>
      <c r="F44" s="71" t="s">
        <v>93</v>
      </c>
      <c r="G44" s="28" t="s">
        <v>50</v>
      </c>
      <c r="H44" s="71" t="s">
        <v>125</v>
      </c>
      <c r="I44" s="71" t="s">
        <v>137</v>
      </c>
      <c r="J44" s="39">
        <v>4</v>
      </c>
      <c r="K44" s="65">
        <v>0</v>
      </c>
      <c r="L44" s="62">
        <v>3034594.58</v>
      </c>
      <c r="M44" s="62">
        <v>0</v>
      </c>
      <c r="N44" s="21">
        <f t="shared" si="8"/>
        <v>3034594.58</v>
      </c>
      <c r="O44" s="21"/>
      <c r="P44" s="21"/>
      <c r="Q44" s="21"/>
      <c r="R44" s="21">
        <f t="shared" si="9"/>
        <v>3034594.58</v>
      </c>
      <c r="S44" s="65">
        <v>3034594.58</v>
      </c>
      <c r="T44" s="23">
        <f t="shared" si="10"/>
        <v>1</v>
      </c>
      <c r="U44" s="70">
        <v>586114.16</v>
      </c>
      <c r="V44" s="23">
        <f t="shared" si="11"/>
        <v>0.19314413986727677</v>
      </c>
      <c r="W44" s="62">
        <v>586114.16</v>
      </c>
      <c r="X44" s="23">
        <f t="shared" si="12"/>
        <v>0.19314413986727677</v>
      </c>
      <c r="Y44" s="5"/>
      <c r="Z44" s="5"/>
      <c r="AA44" s="5"/>
    </row>
    <row r="45" spans="1:27" ht="54" customHeight="1">
      <c r="A45" s="17" t="s">
        <v>81</v>
      </c>
      <c r="B45" s="28" t="s">
        <v>82</v>
      </c>
      <c r="C45" s="28" t="s">
        <v>47</v>
      </c>
      <c r="D45" s="71" t="s">
        <v>127</v>
      </c>
      <c r="E45" s="28" t="s">
        <v>84</v>
      </c>
      <c r="F45" s="71" t="s">
        <v>93</v>
      </c>
      <c r="G45" s="28" t="s">
        <v>50</v>
      </c>
      <c r="H45" s="71" t="s">
        <v>125</v>
      </c>
      <c r="I45" s="71" t="s">
        <v>137</v>
      </c>
      <c r="J45" s="39">
        <v>4</v>
      </c>
      <c r="K45" s="65">
        <v>0</v>
      </c>
      <c r="L45" s="62">
        <v>6430080.5599999996</v>
      </c>
      <c r="M45" s="62">
        <v>0</v>
      </c>
      <c r="N45" s="21">
        <f t="shared" si="8"/>
        <v>6430080.5599999996</v>
      </c>
      <c r="O45" s="21"/>
      <c r="P45" s="21"/>
      <c r="Q45" s="21"/>
      <c r="R45" s="21">
        <f t="shared" si="9"/>
        <v>6430080.5599999996</v>
      </c>
      <c r="S45" s="65">
        <v>147314.68</v>
      </c>
      <c r="T45" s="23">
        <f t="shared" si="10"/>
        <v>2.2910238623822157E-2</v>
      </c>
      <c r="U45" s="70">
        <v>115550.49</v>
      </c>
      <c r="V45" s="23">
        <f t="shared" si="11"/>
        <v>1.7970302070367841E-2</v>
      </c>
      <c r="W45" s="62">
        <v>115550.49</v>
      </c>
      <c r="X45" s="23">
        <f t="shared" si="12"/>
        <v>1.7970302070367841E-2</v>
      </c>
      <c r="Y45" s="5"/>
      <c r="Z45" s="5"/>
      <c r="AA45" s="5"/>
    </row>
    <row r="46" spans="1:27" ht="54" customHeight="1">
      <c r="A46" s="17" t="s">
        <v>81</v>
      </c>
      <c r="B46" s="28" t="s">
        <v>82</v>
      </c>
      <c r="C46" s="28" t="s">
        <v>47</v>
      </c>
      <c r="D46" s="71" t="s">
        <v>94</v>
      </c>
      <c r="E46" s="28" t="s">
        <v>84</v>
      </c>
      <c r="F46" s="71" t="s">
        <v>95</v>
      </c>
      <c r="G46" s="28" t="s">
        <v>50</v>
      </c>
      <c r="H46" s="71" t="s">
        <v>125</v>
      </c>
      <c r="I46" s="71" t="s">
        <v>137</v>
      </c>
      <c r="J46" s="39">
        <v>4</v>
      </c>
      <c r="K46" s="65">
        <v>100000</v>
      </c>
      <c r="L46" s="62">
        <v>0</v>
      </c>
      <c r="M46" s="62">
        <v>0</v>
      </c>
      <c r="N46" s="21">
        <f t="shared" si="8"/>
        <v>100000</v>
      </c>
      <c r="O46" s="21"/>
      <c r="P46" s="21"/>
      <c r="Q46" s="21"/>
      <c r="R46" s="21">
        <f t="shared" si="9"/>
        <v>100000</v>
      </c>
      <c r="S46" s="65">
        <v>0</v>
      </c>
      <c r="T46" s="23">
        <f t="shared" si="10"/>
        <v>0</v>
      </c>
      <c r="U46" s="70">
        <v>0</v>
      </c>
      <c r="V46" s="23">
        <f t="shared" si="11"/>
        <v>0</v>
      </c>
      <c r="W46" s="62">
        <v>0</v>
      </c>
      <c r="X46" s="23">
        <f t="shared" si="12"/>
        <v>0</v>
      </c>
      <c r="Y46" s="5"/>
      <c r="Z46" s="5"/>
      <c r="AA46" s="5"/>
    </row>
    <row r="47" spans="1:27" ht="54" customHeight="1">
      <c r="A47" s="17" t="s">
        <v>81</v>
      </c>
      <c r="B47" s="28" t="s">
        <v>82</v>
      </c>
      <c r="C47" s="28" t="s">
        <v>47</v>
      </c>
      <c r="D47" s="28" t="s">
        <v>48</v>
      </c>
      <c r="E47" s="28" t="s">
        <v>84</v>
      </c>
      <c r="F47" s="28" t="s">
        <v>96</v>
      </c>
      <c r="G47" s="28" t="s">
        <v>50</v>
      </c>
      <c r="H47" s="71" t="s">
        <v>125</v>
      </c>
      <c r="I47" s="71" t="s">
        <v>137</v>
      </c>
      <c r="J47" s="19">
        <v>3</v>
      </c>
      <c r="K47" s="29">
        <f>54800000-K48</f>
        <v>53000000</v>
      </c>
      <c r="L47" s="62">
        <v>12500693.529999999</v>
      </c>
      <c r="M47" s="62">
        <f>1792245.67-M48</f>
        <v>1242893.5099999998</v>
      </c>
      <c r="N47" s="21">
        <f t="shared" si="8"/>
        <v>64257800.020000003</v>
      </c>
      <c r="O47" s="21"/>
      <c r="P47" s="21"/>
      <c r="Q47" s="21"/>
      <c r="R47" s="21">
        <f t="shared" si="9"/>
        <v>64257800.020000003</v>
      </c>
      <c r="S47" s="29">
        <f>40815129.29-S48</f>
        <v>39847944.519999996</v>
      </c>
      <c r="T47" s="23">
        <f t="shared" si="10"/>
        <v>0.62012618713366263</v>
      </c>
      <c r="U47" s="24">
        <f>13765934.63-U48</f>
        <v>12817784.860000001</v>
      </c>
      <c r="V47" s="23">
        <f t="shared" si="11"/>
        <v>0.19947438063566622</v>
      </c>
      <c r="W47" s="62">
        <f>13647889.28-W48</f>
        <v>12699739.51</v>
      </c>
      <c r="X47" s="23">
        <f t="shared" si="12"/>
        <v>0.19763732194453051</v>
      </c>
      <c r="Y47" s="5"/>
      <c r="Z47" s="5"/>
      <c r="AA47" s="5"/>
    </row>
    <row r="48" spans="1:27" ht="54" customHeight="1">
      <c r="A48" s="17" t="s">
        <v>81</v>
      </c>
      <c r="B48" s="28" t="s">
        <v>82</v>
      </c>
      <c r="C48" s="28" t="s">
        <v>47</v>
      </c>
      <c r="D48" s="28" t="s">
        <v>48</v>
      </c>
      <c r="E48" s="28" t="s">
        <v>84</v>
      </c>
      <c r="F48" s="28" t="s">
        <v>96</v>
      </c>
      <c r="G48" s="28" t="s">
        <v>50</v>
      </c>
      <c r="H48" s="71" t="s">
        <v>125</v>
      </c>
      <c r="I48" s="71" t="s">
        <v>137</v>
      </c>
      <c r="J48" s="39">
        <v>4</v>
      </c>
      <c r="K48" s="65">
        <f>1800000</f>
        <v>1800000</v>
      </c>
      <c r="L48" s="62">
        <v>0</v>
      </c>
      <c r="M48" s="62">
        <v>549352.16</v>
      </c>
      <c r="N48" s="21">
        <f t="shared" si="8"/>
        <v>1250647.8399999999</v>
      </c>
      <c r="O48" s="21"/>
      <c r="P48" s="21"/>
      <c r="Q48" s="21"/>
      <c r="R48" s="21">
        <f t="shared" si="9"/>
        <v>1250647.8399999999</v>
      </c>
      <c r="S48" s="62">
        <f>349149.77+599000+19035</f>
        <v>967184.77</v>
      </c>
      <c r="T48" s="23">
        <f t="shared" si="10"/>
        <v>0.77334701189745003</v>
      </c>
      <c r="U48" s="70">
        <f>349149.77+599000</f>
        <v>948149.77</v>
      </c>
      <c r="V48" s="23">
        <f t="shared" si="11"/>
        <v>0.75812690005525463</v>
      </c>
      <c r="W48" s="62">
        <f>349149.77+599000</f>
        <v>948149.77</v>
      </c>
      <c r="X48" s="23">
        <f t="shared" si="12"/>
        <v>0.75812690005525463</v>
      </c>
      <c r="Y48" s="5"/>
      <c r="Z48" s="5"/>
      <c r="AA48" s="5"/>
    </row>
    <row r="49" spans="1:27" ht="54" customHeight="1">
      <c r="A49" s="17" t="s">
        <v>81</v>
      </c>
      <c r="B49" s="28" t="s">
        <v>82</v>
      </c>
      <c r="C49" s="28" t="s">
        <v>47</v>
      </c>
      <c r="D49" s="28" t="s">
        <v>48</v>
      </c>
      <c r="E49" s="28" t="s">
        <v>84</v>
      </c>
      <c r="F49" s="28" t="s">
        <v>96</v>
      </c>
      <c r="G49" s="28" t="s">
        <v>50</v>
      </c>
      <c r="H49" s="71" t="s">
        <v>139</v>
      </c>
      <c r="I49" s="71" t="s">
        <v>137</v>
      </c>
      <c r="J49" s="19">
        <v>3</v>
      </c>
      <c r="K49" s="65">
        <v>0</v>
      </c>
      <c r="L49" s="30">
        <f>9563082.59-L50</f>
        <v>9358382.5899999999</v>
      </c>
      <c r="M49" s="66">
        <v>0</v>
      </c>
      <c r="N49" s="31">
        <f t="shared" si="8"/>
        <v>9358382.5899999999</v>
      </c>
      <c r="O49" s="31"/>
      <c r="P49" s="31"/>
      <c r="Q49" s="31"/>
      <c r="R49" s="31">
        <f t="shared" si="9"/>
        <v>9358382.5899999999</v>
      </c>
      <c r="S49" s="66">
        <v>2171645.91</v>
      </c>
      <c r="T49" s="33">
        <f t="shared" si="10"/>
        <v>0.23205355082624382</v>
      </c>
      <c r="U49" s="72">
        <v>0</v>
      </c>
      <c r="V49" s="33">
        <f t="shared" si="11"/>
        <v>0</v>
      </c>
      <c r="W49" s="66">
        <v>0</v>
      </c>
      <c r="X49" s="33">
        <f t="shared" si="12"/>
        <v>0</v>
      </c>
      <c r="Y49" s="5"/>
      <c r="Z49" s="5"/>
      <c r="AA49" s="5"/>
    </row>
    <row r="50" spans="1:27" ht="54" customHeight="1">
      <c r="A50" s="17" t="s">
        <v>81</v>
      </c>
      <c r="B50" s="28" t="s">
        <v>82</v>
      </c>
      <c r="C50" s="28" t="s">
        <v>47</v>
      </c>
      <c r="D50" s="28" t="s">
        <v>48</v>
      </c>
      <c r="E50" s="28" t="s">
        <v>84</v>
      </c>
      <c r="F50" s="28" t="s">
        <v>96</v>
      </c>
      <c r="G50" s="28" t="s">
        <v>50</v>
      </c>
      <c r="H50" s="71" t="s">
        <v>139</v>
      </c>
      <c r="I50" s="71" t="s">
        <v>137</v>
      </c>
      <c r="J50" s="39">
        <v>4</v>
      </c>
      <c r="K50" s="65">
        <v>0</v>
      </c>
      <c r="L50" s="66">
        <v>204700</v>
      </c>
      <c r="M50" s="66">
        <v>0</v>
      </c>
      <c r="N50" s="31">
        <f t="shared" si="8"/>
        <v>204700</v>
      </c>
      <c r="O50" s="31"/>
      <c r="P50" s="31"/>
      <c r="Q50" s="31"/>
      <c r="R50" s="31">
        <f t="shared" si="9"/>
        <v>204700</v>
      </c>
      <c r="S50" s="66">
        <v>0</v>
      </c>
      <c r="T50" s="33">
        <f t="shared" si="10"/>
        <v>0</v>
      </c>
      <c r="U50" s="70">
        <v>0</v>
      </c>
      <c r="V50" s="33">
        <f t="shared" si="11"/>
        <v>0</v>
      </c>
      <c r="W50" s="66">
        <v>0</v>
      </c>
      <c r="X50" s="33">
        <f t="shared" si="12"/>
        <v>0</v>
      </c>
      <c r="Y50" s="5"/>
      <c r="Z50" s="5"/>
      <c r="AA50" s="5"/>
    </row>
    <row r="51" spans="1:27" ht="54" customHeight="1">
      <c r="A51" s="17" t="s">
        <v>81</v>
      </c>
      <c r="B51" s="28" t="s">
        <v>82</v>
      </c>
      <c r="C51" s="28" t="s">
        <v>47</v>
      </c>
      <c r="D51" s="28" t="s">
        <v>52</v>
      </c>
      <c r="E51" s="28" t="s">
        <v>84</v>
      </c>
      <c r="F51" s="28" t="s">
        <v>97</v>
      </c>
      <c r="G51" s="28" t="s">
        <v>50</v>
      </c>
      <c r="H51" s="71" t="s">
        <v>125</v>
      </c>
      <c r="I51" s="71" t="s">
        <v>137</v>
      </c>
      <c r="J51" s="19">
        <v>3</v>
      </c>
      <c r="K51" s="65">
        <v>65000</v>
      </c>
      <c r="L51" s="66">
        <v>0</v>
      </c>
      <c r="M51" s="66">
        <v>52874.8</v>
      </c>
      <c r="N51" s="31">
        <f t="shared" si="8"/>
        <v>12125.199999999997</v>
      </c>
      <c r="O51" s="31"/>
      <c r="P51" s="31"/>
      <c r="Q51" s="31"/>
      <c r="R51" s="31">
        <f t="shared" si="9"/>
        <v>12125.199999999997</v>
      </c>
      <c r="S51" s="66">
        <v>0</v>
      </c>
      <c r="T51" s="33">
        <f t="shared" si="10"/>
        <v>0</v>
      </c>
      <c r="U51" s="72">
        <v>0</v>
      </c>
      <c r="V51" s="33">
        <f t="shared" si="11"/>
        <v>0</v>
      </c>
      <c r="W51" s="66">
        <v>0</v>
      </c>
      <c r="X51" s="33">
        <f t="shared" si="12"/>
        <v>0</v>
      </c>
      <c r="Y51" s="5"/>
      <c r="Z51" s="5"/>
      <c r="AA51" s="5"/>
    </row>
    <row r="52" spans="1:27" ht="54" hidden="1" customHeight="1">
      <c r="A52" s="17" t="s">
        <v>81</v>
      </c>
      <c r="B52" s="28" t="s">
        <v>82</v>
      </c>
      <c r="C52" s="28" t="s">
        <v>47</v>
      </c>
      <c r="D52" s="28" t="s">
        <v>52</v>
      </c>
      <c r="E52" s="28" t="s">
        <v>98</v>
      </c>
      <c r="F52" s="28" t="s">
        <v>97</v>
      </c>
      <c r="G52" s="28" t="s">
        <v>50</v>
      </c>
      <c r="H52" s="28" t="s">
        <v>88</v>
      </c>
      <c r="I52" s="71" t="s">
        <v>137</v>
      </c>
      <c r="J52" s="19">
        <v>3</v>
      </c>
      <c r="K52" s="29"/>
      <c r="L52" s="30"/>
      <c r="M52" s="30"/>
      <c r="N52" s="31">
        <f t="shared" si="8"/>
        <v>0</v>
      </c>
      <c r="O52" s="31"/>
      <c r="P52" s="31"/>
      <c r="Q52" s="31"/>
      <c r="R52" s="31">
        <f t="shared" si="9"/>
        <v>0</v>
      </c>
      <c r="S52" s="32"/>
      <c r="T52" s="33">
        <f t="shared" si="10"/>
        <v>0</v>
      </c>
      <c r="U52" s="48"/>
      <c r="V52" s="33">
        <f t="shared" si="11"/>
        <v>0</v>
      </c>
      <c r="W52" s="30"/>
      <c r="X52" s="33">
        <f t="shared" si="12"/>
        <v>0</v>
      </c>
      <c r="Y52" s="5"/>
      <c r="Z52" s="5"/>
      <c r="AA52" s="5"/>
    </row>
    <row r="53" spans="1:27" ht="63">
      <c r="A53" s="17" t="s">
        <v>81</v>
      </c>
      <c r="B53" s="28" t="s">
        <v>82</v>
      </c>
      <c r="C53" s="28" t="s">
        <v>47</v>
      </c>
      <c r="D53" s="28" t="s">
        <v>99</v>
      </c>
      <c r="E53" s="28" t="s">
        <v>60</v>
      </c>
      <c r="F53" s="28" t="s">
        <v>100</v>
      </c>
      <c r="G53" s="28" t="s">
        <v>50</v>
      </c>
      <c r="H53" s="71" t="s">
        <v>125</v>
      </c>
      <c r="I53" s="71" t="s">
        <v>137</v>
      </c>
      <c r="J53" s="39">
        <v>4</v>
      </c>
      <c r="K53" s="65">
        <v>5000000</v>
      </c>
      <c r="L53" s="66">
        <v>0</v>
      </c>
      <c r="M53" s="66">
        <v>5000000</v>
      </c>
      <c r="N53" s="31">
        <f t="shared" si="8"/>
        <v>0</v>
      </c>
      <c r="O53" s="31"/>
      <c r="P53" s="31"/>
      <c r="Q53" s="31"/>
      <c r="R53" s="31">
        <f t="shared" si="9"/>
        <v>0</v>
      </c>
      <c r="S53" s="67">
        <v>0</v>
      </c>
      <c r="T53" s="33">
        <f t="shared" si="10"/>
        <v>0</v>
      </c>
      <c r="U53" s="70">
        <v>0</v>
      </c>
      <c r="V53" s="33">
        <f t="shared" si="11"/>
        <v>0</v>
      </c>
      <c r="W53" s="66">
        <v>0</v>
      </c>
      <c r="X53" s="33">
        <f t="shared" si="12"/>
        <v>0</v>
      </c>
      <c r="Y53" s="5"/>
      <c r="Z53" s="5"/>
      <c r="AA53" s="5"/>
    </row>
    <row r="54" spans="1:27" ht="63">
      <c r="A54" s="17" t="s">
        <v>81</v>
      </c>
      <c r="B54" s="28" t="s">
        <v>82</v>
      </c>
      <c r="C54" s="28" t="s">
        <v>47</v>
      </c>
      <c r="D54" s="28" t="s">
        <v>101</v>
      </c>
      <c r="E54" s="28" t="s">
        <v>60</v>
      </c>
      <c r="F54" s="28" t="s">
        <v>102</v>
      </c>
      <c r="G54" s="28" t="s">
        <v>50</v>
      </c>
      <c r="H54" s="71" t="s">
        <v>125</v>
      </c>
      <c r="I54" s="71" t="s">
        <v>137</v>
      </c>
      <c r="J54" s="39">
        <v>4</v>
      </c>
      <c r="K54" s="65">
        <v>100000</v>
      </c>
      <c r="L54" s="66">
        <v>0</v>
      </c>
      <c r="M54" s="66">
        <v>0</v>
      </c>
      <c r="N54" s="31">
        <f t="shared" si="8"/>
        <v>100000</v>
      </c>
      <c r="O54" s="31"/>
      <c r="P54" s="31"/>
      <c r="Q54" s="31"/>
      <c r="R54" s="31">
        <f t="shared" si="9"/>
        <v>100000</v>
      </c>
      <c r="S54" s="67">
        <v>0</v>
      </c>
      <c r="T54" s="33">
        <f t="shared" si="10"/>
        <v>0</v>
      </c>
      <c r="U54" s="70">
        <v>0</v>
      </c>
      <c r="V54" s="33">
        <f t="shared" si="11"/>
        <v>0</v>
      </c>
      <c r="W54" s="66">
        <v>0</v>
      </c>
      <c r="X54" s="33">
        <f t="shared" si="12"/>
        <v>0</v>
      </c>
      <c r="Y54" s="5"/>
      <c r="Z54" s="5"/>
      <c r="AA54" s="5"/>
    </row>
    <row r="55" spans="1:27" ht="54" hidden="1" customHeight="1">
      <c r="A55" s="17" t="s">
        <v>81</v>
      </c>
      <c r="B55" s="28" t="s">
        <v>82</v>
      </c>
      <c r="C55" s="28" t="s">
        <v>47</v>
      </c>
      <c r="D55" s="28" t="s">
        <v>103</v>
      </c>
      <c r="E55" s="28" t="s">
        <v>60</v>
      </c>
      <c r="F55" s="28" t="s">
        <v>104</v>
      </c>
      <c r="G55" s="28" t="s">
        <v>50</v>
      </c>
      <c r="H55" s="28" t="s">
        <v>88</v>
      </c>
      <c r="I55" s="71" t="s">
        <v>137</v>
      </c>
      <c r="J55" s="19">
        <v>3</v>
      </c>
      <c r="K55" s="29"/>
      <c r="L55" s="30"/>
      <c r="M55" s="30"/>
      <c r="N55" s="31">
        <f t="shared" si="8"/>
        <v>0</v>
      </c>
      <c r="O55" s="31"/>
      <c r="P55" s="31"/>
      <c r="Q55" s="31"/>
      <c r="R55" s="31">
        <f t="shared" si="9"/>
        <v>0</v>
      </c>
      <c r="S55" s="32"/>
      <c r="T55" s="33">
        <f t="shared" si="10"/>
        <v>0</v>
      </c>
      <c r="U55" s="24"/>
      <c r="V55" s="33">
        <f t="shared" si="11"/>
        <v>0</v>
      </c>
      <c r="W55" s="30"/>
      <c r="X55" s="33">
        <f t="shared" si="12"/>
        <v>0</v>
      </c>
      <c r="Y55" s="5"/>
      <c r="Z55" s="5"/>
      <c r="AA55" s="5"/>
    </row>
    <row r="56" spans="1:27" ht="63">
      <c r="A56" s="17" t="s">
        <v>81</v>
      </c>
      <c r="B56" s="28" t="s">
        <v>82</v>
      </c>
      <c r="C56" s="28" t="s">
        <v>47</v>
      </c>
      <c r="D56" s="28" t="s">
        <v>105</v>
      </c>
      <c r="E56" s="28" t="s">
        <v>60</v>
      </c>
      <c r="F56" s="28" t="s">
        <v>104</v>
      </c>
      <c r="G56" s="28" t="s">
        <v>50</v>
      </c>
      <c r="H56" s="71" t="s">
        <v>125</v>
      </c>
      <c r="I56" s="71" t="s">
        <v>137</v>
      </c>
      <c r="J56" s="39">
        <v>4</v>
      </c>
      <c r="K56" s="65">
        <v>280000</v>
      </c>
      <c r="L56" s="66">
        <v>0</v>
      </c>
      <c r="M56" s="66">
        <v>49950</v>
      </c>
      <c r="N56" s="31">
        <f t="shared" si="8"/>
        <v>230050</v>
      </c>
      <c r="O56" s="31"/>
      <c r="P56" s="31"/>
      <c r="Q56" s="31"/>
      <c r="R56" s="31">
        <f t="shared" si="9"/>
        <v>230050</v>
      </c>
      <c r="S56" s="67">
        <v>0</v>
      </c>
      <c r="T56" s="33">
        <f t="shared" si="10"/>
        <v>0</v>
      </c>
      <c r="U56" s="70">
        <v>0</v>
      </c>
      <c r="V56" s="33">
        <f t="shared" si="11"/>
        <v>0</v>
      </c>
      <c r="W56" s="66">
        <v>0</v>
      </c>
      <c r="X56" s="33">
        <f t="shared" si="12"/>
        <v>0</v>
      </c>
      <c r="Y56" s="5"/>
      <c r="Z56" s="5"/>
      <c r="AA56" s="5"/>
    </row>
    <row r="57" spans="1:27" ht="63">
      <c r="A57" s="17" t="s">
        <v>81</v>
      </c>
      <c r="B57" s="28" t="s">
        <v>82</v>
      </c>
      <c r="C57" s="28" t="s">
        <v>47</v>
      </c>
      <c r="D57" s="71" t="s">
        <v>103</v>
      </c>
      <c r="E57" s="28" t="s">
        <v>60</v>
      </c>
      <c r="F57" s="28" t="s">
        <v>104</v>
      </c>
      <c r="G57" s="28" t="s">
        <v>50</v>
      </c>
      <c r="H57" s="71" t="s">
        <v>125</v>
      </c>
      <c r="I57" s="71" t="s">
        <v>137</v>
      </c>
      <c r="J57" s="39">
        <v>4</v>
      </c>
      <c r="K57" s="65">
        <v>0</v>
      </c>
      <c r="L57" s="66">
        <v>49950</v>
      </c>
      <c r="M57" s="66">
        <v>0</v>
      </c>
      <c r="N57" s="31">
        <f t="shared" si="8"/>
        <v>49950</v>
      </c>
      <c r="O57" s="31"/>
      <c r="P57" s="31"/>
      <c r="Q57" s="31"/>
      <c r="R57" s="31">
        <f t="shared" si="9"/>
        <v>49950</v>
      </c>
      <c r="S57" s="67">
        <v>49950</v>
      </c>
      <c r="T57" s="33">
        <f t="shared" si="10"/>
        <v>1</v>
      </c>
      <c r="U57" s="70">
        <v>49950</v>
      </c>
      <c r="V57" s="33">
        <f t="shared" si="11"/>
        <v>1</v>
      </c>
      <c r="W57" s="66">
        <v>49950</v>
      </c>
      <c r="X57" s="33">
        <f t="shared" si="12"/>
        <v>1</v>
      </c>
      <c r="Y57" s="5"/>
      <c r="Z57" s="5"/>
      <c r="AA57" s="5"/>
    </row>
    <row r="58" spans="1:27" ht="63">
      <c r="A58" s="17" t="s">
        <v>81</v>
      </c>
      <c r="B58" s="28" t="s">
        <v>82</v>
      </c>
      <c r="C58" s="28" t="s">
        <v>47</v>
      </c>
      <c r="D58" s="28" t="s">
        <v>56</v>
      </c>
      <c r="E58" s="28" t="s">
        <v>60</v>
      </c>
      <c r="F58" s="28" t="s">
        <v>57</v>
      </c>
      <c r="G58" s="28" t="s">
        <v>50</v>
      </c>
      <c r="H58" s="71" t="s">
        <v>128</v>
      </c>
      <c r="I58" s="71" t="s">
        <v>140</v>
      </c>
      <c r="J58" s="19">
        <v>3</v>
      </c>
      <c r="K58" s="65">
        <v>400000</v>
      </c>
      <c r="L58" s="66">
        <v>45776</v>
      </c>
      <c r="M58" s="66">
        <v>45776</v>
      </c>
      <c r="N58" s="31">
        <f t="shared" si="8"/>
        <v>400000</v>
      </c>
      <c r="O58" s="31"/>
      <c r="P58" s="31"/>
      <c r="Q58" s="31"/>
      <c r="R58" s="31">
        <f t="shared" si="9"/>
        <v>400000</v>
      </c>
      <c r="S58" s="67">
        <v>251870.18</v>
      </c>
      <c r="T58" s="33">
        <f t="shared" si="10"/>
        <v>0.62967545000000003</v>
      </c>
      <c r="U58" s="72">
        <v>87599.88</v>
      </c>
      <c r="V58" s="33">
        <f t="shared" si="11"/>
        <v>0.21899970000000002</v>
      </c>
      <c r="W58" s="66">
        <v>79152.460000000006</v>
      </c>
      <c r="X58" s="33">
        <f t="shared" si="12"/>
        <v>0.19788115000000001</v>
      </c>
      <c r="Y58" s="5"/>
      <c r="Z58" s="5"/>
      <c r="AA58" s="5"/>
    </row>
    <row r="59" spans="1:27" ht="63">
      <c r="A59" s="17" t="s">
        <v>81</v>
      </c>
      <c r="B59" s="28" t="s">
        <v>82</v>
      </c>
      <c r="C59" s="28" t="s">
        <v>47</v>
      </c>
      <c r="D59" s="28" t="s">
        <v>59</v>
      </c>
      <c r="E59" s="28" t="s">
        <v>60</v>
      </c>
      <c r="F59" s="28" t="s">
        <v>61</v>
      </c>
      <c r="G59" s="28" t="s">
        <v>50</v>
      </c>
      <c r="H59" s="71" t="s">
        <v>125</v>
      </c>
      <c r="I59" s="71" t="s">
        <v>137</v>
      </c>
      <c r="J59" s="19">
        <v>3</v>
      </c>
      <c r="K59" s="65">
        <v>20000</v>
      </c>
      <c r="L59" s="62">
        <v>0</v>
      </c>
      <c r="M59" s="62">
        <v>0</v>
      </c>
      <c r="N59" s="21">
        <f t="shared" si="8"/>
        <v>20000</v>
      </c>
      <c r="O59" s="21"/>
      <c r="P59" s="21"/>
      <c r="Q59" s="21"/>
      <c r="R59" s="21">
        <f t="shared" si="9"/>
        <v>20000</v>
      </c>
      <c r="S59" s="67">
        <v>9864.94</v>
      </c>
      <c r="T59" s="23">
        <f t="shared" si="10"/>
        <v>0.49324700000000005</v>
      </c>
      <c r="U59" s="63">
        <v>9864.94</v>
      </c>
      <c r="V59" s="23">
        <f t="shared" si="11"/>
        <v>0.49324700000000005</v>
      </c>
      <c r="W59" s="62">
        <v>9864.94</v>
      </c>
      <c r="X59" s="23">
        <f t="shared" si="12"/>
        <v>0.49324700000000005</v>
      </c>
      <c r="Y59" s="5"/>
      <c r="Z59" s="5"/>
      <c r="AA59" s="5"/>
    </row>
    <row r="60" spans="1:27" ht="54" hidden="1" customHeight="1">
      <c r="A60" s="17" t="s">
        <v>81</v>
      </c>
      <c r="B60" s="28" t="s">
        <v>82</v>
      </c>
      <c r="C60" s="28" t="s">
        <v>47</v>
      </c>
      <c r="D60" s="28" t="s">
        <v>59</v>
      </c>
      <c r="E60" s="28" t="s">
        <v>60</v>
      </c>
      <c r="F60" s="28" t="s">
        <v>61</v>
      </c>
      <c r="G60" s="28" t="s">
        <v>50</v>
      </c>
      <c r="H60" s="28" t="s">
        <v>88</v>
      </c>
      <c r="I60" s="71" t="s">
        <v>137</v>
      </c>
      <c r="J60" s="19">
        <v>3</v>
      </c>
      <c r="K60" s="29"/>
      <c r="L60" s="20"/>
      <c r="M60" s="20"/>
      <c r="N60" s="21">
        <f t="shared" si="8"/>
        <v>0</v>
      </c>
      <c r="O60" s="21"/>
      <c r="P60" s="21"/>
      <c r="Q60" s="21"/>
      <c r="R60" s="21">
        <f t="shared" si="9"/>
        <v>0</v>
      </c>
      <c r="S60" s="32"/>
      <c r="T60" s="23">
        <f t="shared" si="10"/>
        <v>0</v>
      </c>
      <c r="U60" s="24"/>
      <c r="V60" s="23">
        <f t="shared" si="11"/>
        <v>0</v>
      </c>
      <c r="W60" s="20"/>
      <c r="X60" s="23">
        <f t="shared" si="12"/>
        <v>0</v>
      </c>
      <c r="Y60" s="5"/>
      <c r="Z60" s="5"/>
      <c r="AA60" s="5"/>
    </row>
    <row r="61" spans="1:27" ht="63">
      <c r="A61" s="17" t="s">
        <v>81</v>
      </c>
      <c r="B61" s="28" t="s">
        <v>82</v>
      </c>
      <c r="C61" s="28" t="s">
        <v>47</v>
      </c>
      <c r="D61" s="28" t="s">
        <v>106</v>
      </c>
      <c r="E61" s="28" t="s">
        <v>60</v>
      </c>
      <c r="F61" s="28" t="s">
        <v>107</v>
      </c>
      <c r="G61" s="28" t="s">
        <v>50</v>
      </c>
      <c r="H61" s="71" t="s">
        <v>125</v>
      </c>
      <c r="I61" s="71" t="s">
        <v>137</v>
      </c>
      <c r="J61" s="19">
        <v>3</v>
      </c>
      <c r="K61" s="65">
        <f>38480000-K62</f>
        <v>37980000</v>
      </c>
      <c r="L61" s="62">
        <v>4174924.02</v>
      </c>
      <c r="M61" s="62">
        <v>5309726.33</v>
      </c>
      <c r="N61" s="21">
        <f t="shared" si="8"/>
        <v>36845197.690000005</v>
      </c>
      <c r="O61" s="21"/>
      <c r="P61" s="21"/>
      <c r="Q61" s="21"/>
      <c r="R61" s="21">
        <f t="shared" si="9"/>
        <v>36845197.690000005</v>
      </c>
      <c r="S61" s="20">
        <f>27870146.01-S62</f>
        <v>27640571.110000003</v>
      </c>
      <c r="T61" s="23">
        <f t="shared" si="10"/>
        <v>0.75018110480926559</v>
      </c>
      <c r="U61" s="63">
        <f>10881901.67-U62</f>
        <v>10795361.67</v>
      </c>
      <c r="V61" s="23">
        <f t="shared" si="11"/>
        <v>0.29299236662611045</v>
      </c>
      <c r="W61" s="62">
        <f>10819233.15-W62</f>
        <v>10732693.15</v>
      </c>
      <c r="X61" s="23">
        <f t="shared" si="12"/>
        <v>0.29129150670598558</v>
      </c>
      <c r="Y61" s="5"/>
      <c r="Z61" s="5"/>
      <c r="AA61" s="5"/>
    </row>
    <row r="62" spans="1:27" ht="63">
      <c r="A62" s="17" t="s">
        <v>81</v>
      </c>
      <c r="B62" s="28" t="s">
        <v>82</v>
      </c>
      <c r="C62" s="28" t="s">
        <v>47</v>
      </c>
      <c r="D62" s="28" t="s">
        <v>106</v>
      </c>
      <c r="E62" s="28" t="s">
        <v>60</v>
      </c>
      <c r="F62" s="28" t="s">
        <v>107</v>
      </c>
      <c r="G62" s="28" t="s">
        <v>50</v>
      </c>
      <c r="H62" s="71" t="s">
        <v>125</v>
      </c>
      <c r="I62" s="71" t="s">
        <v>137</v>
      </c>
      <c r="J62" s="39">
        <v>4</v>
      </c>
      <c r="K62" s="65">
        <f>500000</f>
        <v>500000</v>
      </c>
      <c r="L62" s="62">
        <v>0</v>
      </c>
      <c r="M62" s="62">
        <v>0</v>
      </c>
      <c r="N62" s="21">
        <f t="shared" si="8"/>
        <v>500000</v>
      </c>
      <c r="O62" s="21"/>
      <c r="P62" s="21"/>
      <c r="Q62" s="21"/>
      <c r="R62" s="21">
        <f t="shared" si="9"/>
        <v>500000</v>
      </c>
      <c r="S62" s="20">
        <f>10872+80275.4+16047+37200+85093.5+87</f>
        <v>229574.9</v>
      </c>
      <c r="T62" s="23">
        <f t="shared" si="10"/>
        <v>0.4591498</v>
      </c>
      <c r="U62" s="70">
        <f>51806+16047+18600+87</f>
        <v>86540</v>
      </c>
      <c r="V62" s="23">
        <f t="shared" si="11"/>
        <v>0.17308000000000001</v>
      </c>
      <c r="W62" s="62">
        <f>51806+16047+18600+87</f>
        <v>86540</v>
      </c>
      <c r="X62" s="23">
        <f t="shared" si="12"/>
        <v>0.17308000000000001</v>
      </c>
      <c r="Y62" s="5"/>
      <c r="Z62" s="5"/>
      <c r="AA62" s="5"/>
    </row>
    <row r="63" spans="1:27" ht="63">
      <c r="A63" s="17" t="s">
        <v>81</v>
      </c>
      <c r="B63" s="28" t="s">
        <v>82</v>
      </c>
      <c r="C63" s="28" t="s">
        <v>47</v>
      </c>
      <c r="D63" s="28" t="s">
        <v>106</v>
      </c>
      <c r="E63" s="28" t="s">
        <v>60</v>
      </c>
      <c r="F63" s="28" t="s">
        <v>107</v>
      </c>
      <c r="G63" s="28" t="s">
        <v>50</v>
      </c>
      <c r="H63" s="71" t="s">
        <v>139</v>
      </c>
      <c r="I63" s="71" t="s">
        <v>137</v>
      </c>
      <c r="J63" s="19">
        <v>3</v>
      </c>
      <c r="K63" s="65">
        <v>0</v>
      </c>
      <c r="L63" s="62">
        <v>1282863.8899999999</v>
      </c>
      <c r="M63" s="62">
        <v>0</v>
      </c>
      <c r="N63" s="21">
        <f t="shared" si="8"/>
        <v>1282863.8899999999</v>
      </c>
      <c r="O63" s="21"/>
      <c r="P63" s="21"/>
      <c r="Q63" s="21"/>
      <c r="R63" s="21">
        <f t="shared" si="9"/>
        <v>1282863.8899999999</v>
      </c>
      <c r="S63" s="66">
        <v>1282863.8899999999</v>
      </c>
      <c r="T63" s="23">
        <f t="shared" si="10"/>
        <v>1</v>
      </c>
      <c r="U63" s="63">
        <v>0</v>
      </c>
      <c r="V63" s="23">
        <f t="shared" si="11"/>
        <v>0</v>
      </c>
      <c r="W63" s="62">
        <v>0</v>
      </c>
      <c r="X63" s="23">
        <f t="shared" si="12"/>
        <v>0</v>
      </c>
      <c r="Y63" s="5"/>
      <c r="Z63" s="5"/>
      <c r="AA63" s="5"/>
    </row>
    <row r="64" spans="1:27" ht="54" hidden="1" customHeight="1">
      <c r="A64" s="17" t="s">
        <v>81</v>
      </c>
      <c r="B64" s="18" t="s">
        <v>82</v>
      </c>
      <c r="C64" s="18" t="s">
        <v>47</v>
      </c>
      <c r="D64" s="18" t="s">
        <v>106</v>
      </c>
      <c r="E64" s="28" t="s">
        <v>98</v>
      </c>
      <c r="F64" s="28" t="s">
        <v>107</v>
      </c>
      <c r="G64" s="18" t="s">
        <v>50</v>
      </c>
      <c r="H64" s="18" t="s">
        <v>88</v>
      </c>
      <c r="I64" s="71" t="s">
        <v>137</v>
      </c>
      <c r="J64" s="39">
        <v>4</v>
      </c>
      <c r="K64" s="29"/>
      <c r="L64" s="20"/>
      <c r="M64" s="20"/>
      <c r="N64" s="21">
        <f t="shared" si="8"/>
        <v>0</v>
      </c>
      <c r="O64" s="21"/>
      <c r="P64" s="21"/>
      <c r="Q64" s="21"/>
      <c r="R64" s="21">
        <f t="shared" si="9"/>
        <v>0</v>
      </c>
      <c r="S64" s="30"/>
      <c r="T64" s="23">
        <f t="shared" si="10"/>
        <v>0</v>
      </c>
      <c r="U64" s="41"/>
      <c r="V64" s="23">
        <f t="shared" si="11"/>
        <v>0</v>
      </c>
      <c r="W64" s="20"/>
      <c r="X64" s="23">
        <f t="shared" si="12"/>
        <v>0</v>
      </c>
      <c r="Y64" s="5"/>
      <c r="Z64" s="5"/>
      <c r="AA64" s="5"/>
    </row>
    <row r="65" spans="1:27" ht="63" hidden="1" customHeight="1">
      <c r="A65" s="17" t="s">
        <v>81</v>
      </c>
      <c r="B65" s="18" t="s">
        <v>82</v>
      </c>
      <c r="C65" s="18" t="s">
        <v>47</v>
      </c>
      <c r="D65" s="18" t="s">
        <v>106</v>
      </c>
      <c r="E65" s="28" t="s">
        <v>60</v>
      </c>
      <c r="F65" s="28" t="s">
        <v>107</v>
      </c>
      <c r="G65" s="18" t="s">
        <v>50</v>
      </c>
      <c r="H65" s="18" t="s">
        <v>108</v>
      </c>
      <c r="I65" s="71" t="s">
        <v>137</v>
      </c>
      <c r="J65" s="19">
        <v>3</v>
      </c>
      <c r="K65" s="29"/>
      <c r="L65" s="20"/>
      <c r="M65" s="20"/>
      <c r="N65" s="21">
        <f t="shared" si="8"/>
        <v>0</v>
      </c>
      <c r="O65" s="21"/>
      <c r="P65" s="21"/>
      <c r="Q65" s="21"/>
      <c r="R65" s="21">
        <f t="shared" si="9"/>
        <v>0</v>
      </c>
      <c r="S65" s="30"/>
      <c r="T65" s="23">
        <f t="shared" si="10"/>
        <v>0</v>
      </c>
      <c r="U65" s="24"/>
      <c r="V65" s="23">
        <f t="shared" si="11"/>
        <v>0</v>
      </c>
      <c r="W65" s="20"/>
      <c r="X65" s="23">
        <f t="shared" si="12"/>
        <v>0</v>
      </c>
      <c r="Y65" s="5"/>
      <c r="Z65" s="5"/>
      <c r="AA65" s="5"/>
    </row>
    <row r="66" spans="1:27" ht="63" customHeight="1">
      <c r="A66" s="17" t="s">
        <v>81</v>
      </c>
      <c r="B66" s="18" t="s">
        <v>82</v>
      </c>
      <c r="C66" s="18" t="s">
        <v>47</v>
      </c>
      <c r="D66" s="18" t="s">
        <v>109</v>
      </c>
      <c r="E66" s="28" t="s">
        <v>60</v>
      </c>
      <c r="F66" s="18" t="s">
        <v>110</v>
      </c>
      <c r="G66" s="18" t="s">
        <v>50</v>
      </c>
      <c r="H66" s="61" t="s">
        <v>125</v>
      </c>
      <c r="I66" s="71" t="s">
        <v>137</v>
      </c>
      <c r="J66" s="19">
        <v>3</v>
      </c>
      <c r="K66" s="65">
        <v>600000</v>
      </c>
      <c r="L66" s="62">
        <v>0</v>
      </c>
      <c r="M66" s="62">
        <v>0</v>
      </c>
      <c r="N66" s="21">
        <f t="shared" si="8"/>
        <v>600000</v>
      </c>
      <c r="O66" s="21"/>
      <c r="P66" s="21"/>
      <c r="Q66" s="21"/>
      <c r="R66" s="21">
        <f t="shared" si="9"/>
        <v>600000</v>
      </c>
      <c r="S66" s="66">
        <v>168888.18</v>
      </c>
      <c r="T66" s="23">
        <f t="shared" si="10"/>
        <v>0.28148029999999996</v>
      </c>
      <c r="U66" s="63">
        <v>168888.18</v>
      </c>
      <c r="V66" s="23">
        <f t="shared" si="11"/>
        <v>0.28148029999999996</v>
      </c>
      <c r="W66" s="62">
        <v>168888.18</v>
      </c>
      <c r="X66" s="23">
        <f t="shared" si="12"/>
        <v>0.28148029999999996</v>
      </c>
      <c r="Y66" s="5"/>
      <c r="Z66" s="5"/>
      <c r="AA66" s="5"/>
    </row>
    <row r="67" spans="1:27" ht="63" customHeight="1">
      <c r="A67" s="17" t="s">
        <v>81</v>
      </c>
      <c r="B67" s="18" t="s">
        <v>82</v>
      </c>
      <c r="C67" s="18" t="s">
        <v>47</v>
      </c>
      <c r="D67" s="18" t="s">
        <v>65</v>
      </c>
      <c r="E67" s="28" t="s">
        <v>60</v>
      </c>
      <c r="F67" s="18" t="s">
        <v>66</v>
      </c>
      <c r="G67" s="18" t="s">
        <v>50</v>
      </c>
      <c r="H67" s="61" t="s">
        <v>125</v>
      </c>
      <c r="I67" s="71" t="s">
        <v>137</v>
      </c>
      <c r="J67" s="19">
        <v>3</v>
      </c>
      <c r="K67" s="65">
        <v>15000</v>
      </c>
      <c r="L67" s="62">
        <v>0</v>
      </c>
      <c r="M67" s="62">
        <v>0</v>
      </c>
      <c r="N67" s="21">
        <f t="shared" si="8"/>
        <v>15000</v>
      </c>
      <c r="O67" s="21"/>
      <c r="P67" s="21"/>
      <c r="Q67" s="21"/>
      <c r="R67" s="21">
        <f t="shared" si="9"/>
        <v>15000</v>
      </c>
      <c r="S67" s="66">
        <v>0</v>
      </c>
      <c r="T67" s="23">
        <f t="shared" si="10"/>
        <v>0</v>
      </c>
      <c r="U67" s="68">
        <v>0</v>
      </c>
      <c r="V67" s="23">
        <f t="shared" si="11"/>
        <v>0</v>
      </c>
      <c r="W67" s="62">
        <v>0</v>
      </c>
      <c r="X67" s="23">
        <f t="shared" si="12"/>
        <v>0</v>
      </c>
      <c r="Y67" s="5"/>
      <c r="Z67" s="5"/>
      <c r="AA67" s="5"/>
    </row>
    <row r="68" spans="1:27" ht="63" hidden="1" customHeight="1">
      <c r="A68" s="17" t="s">
        <v>81</v>
      </c>
      <c r="B68" s="18" t="s">
        <v>82</v>
      </c>
      <c r="C68" s="18" t="s">
        <v>47</v>
      </c>
      <c r="D68" s="18" t="s">
        <v>65</v>
      </c>
      <c r="E68" s="28" t="s">
        <v>60</v>
      </c>
      <c r="F68" s="18" t="s">
        <v>66</v>
      </c>
      <c r="G68" s="18" t="s">
        <v>50</v>
      </c>
      <c r="H68" s="18" t="s">
        <v>88</v>
      </c>
      <c r="I68" s="71" t="s">
        <v>137</v>
      </c>
      <c r="J68" s="19">
        <v>3</v>
      </c>
      <c r="K68" s="29"/>
      <c r="L68" s="20"/>
      <c r="M68" s="20"/>
      <c r="N68" s="21">
        <f t="shared" si="8"/>
        <v>0</v>
      </c>
      <c r="O68" s="21"/>
      <c r="P68" s="21"/>
      <c r="Q68" s="21"/>
      <c r="R68" s="21">
        <f t="shared" si="9"/>
        <v>0</v>
      </c>
      <c r="S68" s="30"/>
      <c r="T68" s="23">
        <f t="shared" si="10"/>
        <v>0</v>
      </c>
      <c r="U68" s="24"/>
      <c r="V68" s="23">
        <f t="shared" si="11"/>
        <v>0</v>
      </c>
      <c r="W68" s="20"/>
      <c r="X68" s="23">
        <f t="shared" si="12"/>
        <v>0</v>
      </c>
      <c r="Y68" s="5"/>
      <c r="Z68" s="5"/>
      <c r="AA68" s="5"/>
    </row>
    <row r="69" spans="1:27" ht="63" customHeight="1">
      <c r="A69" s="17" t="s">
        <v>81</v>
      </c>
      <c r="B69" s="18" t="s">
        <v>82</v>
      </c>
      <c r="C69" s="18" t="s">
        <v>111</v>
      </c>
      <c r="D69" s="18" t="s">
        <v>112</v>
      </c>
      <c r="E69" s="71" t="s">
        <v>84</v>
      </c>
      <c r="F69" s="18" t="s">
        <v>113</v>
      </c>
      <c r="G69" s="18" t="s">
        <v>50</v>
      </c>
      <c r="H69" s="61" t="s">
        <v>125</v>
      </c>
      <c r="I69" s="71" t="s">
        <v>137</v>
      </c>
      <c r="J69" s="19">
        <v>3</v>
      </c>
      <c r="K69" s="29">
        <f>21000000-K70</f>
        <v>20000000</v>
      </c>
      <c r="L69" s="62">
        <f>4751930-L70</f>
        <v>1611630</v>
      </c>
      <c r="M69" s="62">
        <f>3672930-M70</f>
        <v>3146930</v>
      </c>
      <c r="N69" s="21">
        <f t="shared" si="8"/>
        <v>18464700</v>
      </c>
      <c r="O69" s="21"/>
      <c r="P69" s="21"/>
      <c r="Q69" s="21"/>
      <c r="R69" s="21">
        <f t="shared" si="9"/>
        <v>18464700</v>
      </c>
      <c r="S69" s="30">
        <f>18465567.63-S70</f>
        <v>14851267.629999999</v>
      </c>
      <c r="T69" s="23">
        <f t="shared" si="10"/>
        <v>0.8043059259018559</v>
      </c>
      <c r="U69" s="63">
        <v>4012535.53</v>
      </c>
      <c r="V69" s="23">
        <f t="shared" si="11"/>
        <v>0.21730846046781155</v>
      </c>
      <c r="W69" s="62">
        <v>4012535.53</v>
      </c>
      <c r="X69" s="23">
        <f t="shared" si="12"/>
        <v>0.21730846046781155</v>
      </c>
      <c r="Y69" s="5"/>
      <c r="Z69" s="5"/>
      <c r="AA69" s="5"/>
    </row>
    <row r="70" spans="1:27" ht="63" customHeight="1">
      <c r="A70" s="17" t="s">
        <v>81</v>
      </c>
      <c r="B70" s="18" t="s">
        <v>82</v>
      </c>
      <c r="C70" s="18" t="s">
        <v>111</v>
      </c>
      <c r="D70" s="18" t="s">
        <v>112</v>
      </c>
      <c r="E70" s="71" t="s">
        <v>84</v>
      </c>
      <c r="F70" s="18" t="s">
        <v>113</v>
      </c>
      <c r="G70" s="18" t="s">
        <v>50</v>
      </c>
      <c r="H70" s="61" t="s">
        <v>125</v>
      </c>
      <c r="I70" s="71" t="s">
        <v>137</v>
      </c>
      <c r="J70" s="39">
        <v>4</v>
      </c>
      <c r="K70" s="65">
        <f>1000000</f>
        <v>1000000</v>
      </c>
      <c r="L70" s="62">
        <f>2246300+894000</f>
        <v>3140300</v>
      </c>
      <c r="M70" s="62">
        <f>526000</f>
        <v>526000</v>
      </c>
      <c r="N70" s="21">
        <f t="shared" si="8"/>
        <v>3614300</v>
      </c>
      <c r="O70" s="21"/>
      <c r="P70" s="21"/>
      <c r="Q70" s="21"/>
      <c r="R70" s="21">
        <f t="shared" si="9"/>
        <v>3614300</v>
      </c>
      <c r="S70" s="66">
        <f>2246300+1368000</f>
        <v>3614300</v>
      </c>
      <c r="T70" s="23">
        <f t="shared" si="10"/>
        <v>1</v>
      </c>
      <c r="U70" s="70">
        <v>0</v>
      </c>
      <c r="V70" s="23">
        <f t="shared" si="11"/>
        <v>0</v>
      </c>
      <c r="W70" s="62">
        <v>0</v>
      </c>
      <c r="X70" s="23">
        <f t="shared" si="12"/>
        <v>0</v>
      </c>
      <c r="Y70" s="5"/>
      <c r="Z70" s="5"/>
      <c r="AA70" s="5"/>
    </row>
    <row r="71" spans="1:27" ht="63" hidden="1" customHeight="1">
      <c r="A71" s="17" t="s">
        <v>81</v>
      </c>
      <c r="B71" s="18" t="s">
        <v>82</v>
      </c>
      <c r="C71" s="18" t="s">
        <v>111</v>
      </c>
      <c r="D71" s="18" t="s">
        <v>112</v>
      </c>
      <c r="E71" s="28" t="s">
        <v>60</v>
      </c>
      <c r="F71" s="18" t="s">
        <v>113</v>
      </c>
      <c r="G71" s="18" t="s">
        <v>50</v>
      </c>
      <c r="H71" s="18" t="s">
        <v>88</v>
      </c>
      <c r="I71" s="71" t="s">
        <v>137</v>
      </c>
      <c r="J71" s="19">
        <v>3</v>
      </c>
      <c r="K71" s="29"/>
      <c r="L71" s="20"/>
      <c r="M71" s="20"/>
      <c r="N71" s="21">
        <f t="shared" si="8"/>
        <v>0</v>
      </c>
      <c r="O71" s="21"/>
      <c r="P71" s="21"/>
      <c r="Q71" s="21"/>
      <c r="R71" s="21">
        <f t="shared" si="9"/>
        <v>0</v>
      </c>
      <c r="S71" s="30"/>
      <c r="T71" s="23">
        <f t="shared" si="10"/>
        <v>0</v>
      </c>
      <c r="U71" s="24"/>
      <c r="V71" s="23">
        <f t="shared" si="11"/>
        <v>0</v>
      </c>
      <c r="W71" s="20"/>
      <c r="X71" s="23">
        <f t="shared" si="12"/>
        <v>0</v>
      </c>
      <c r="Y71" s="5"/>
      <c r="Z71" s="5"/>
      <c r="AA71" s="5"/>
    </row>
    <row r="72" spans="1:27" ht="63" hidden="1" customHeight="1">
      <c r="A72" s="17" t="s">
        <v>81</v>
      </c>
      <c r="B72" s="18" t="s">
        <v>82</v>
      </c>
      <c r="C72" s="18" t="s">
        <v>111</v>
      </c>
      <c r="D72" s="18" t="s">
        <v>112</v>
      </c>
      <c r="E72" s="28" t="s">
        <v>60</v>
      </c>
      <c r="F72" s="18" t="s">
        <v>113</v>
      </c>
      <c r="G72" s="18" t="s">
        <v>50</v>
      </c>
      <c r="H72" s="18" t="s">
        <v>88</v>
      </c>
      <c r="I72" s="71" t="s">
        <v>137</v>
      </c>
      <c r="J72" s="39">
        <v>4</v>
      </c>
      <c r="K72" s="29"/>
      <c r="L72" s="20"/>
      <c r="M72" s="20"/>
      <c r="N72" s="21">
        <f t="shared" si="8"/>
        <v>0</v>
      </c>
      <c r="O72" s="21"/>
      <c r="P72" s="21"/>
      <c r="Q72" s="21"/>
      <c r="R72" s="21">
        <f t="shared" si="9"/>
        <v>0</v>
      </c>
      <c r="S72" s="30"/>
      <c r="T72" s="23">
        <f t="shared" si="10"/>
        <v>0</v>
      </c>
      <c r="U72" s="41"/>
      <c r="V72" s="23">
        <f t="shared" si="11"/>
        <v>0</v>
      </c>
      <c r="W72" s="20"/>
      <c r="X72" s="23">
        <f t="shared" si="12"/>
        <v>0</v>
      </c>
      <c r="Y72" s="5"/>
      <c r="Z72" s="5"/>
      <c r="AA72" s="5"/>
    </row>
    <row r="73" spans="1:27" ht="63" customHeight="1">
      <c r="A73" s="17" t="s">
        <v>81</v>
      </c>
      <c r="B73" s="18" t="s">
        <v>82</v>
      </c>
      <c r="C73" s="18" t="s">
        <v>111</v>
      </c>
      <c r="D73" s="18" t="s">
        <v>114</v>
      </c>
      <c r="E73" s="28" t="s">
        <v>60</v>
      </c>
      <c r="F73" s="18" t="s">
        <v>115</v>
      </c>
      <c r="G73" s="18" t="s">
        <v>50</v>
      </c>
      <c r="H73" s="61" t="s">
        <v>125</v>
      </c>
      <c r="I73" s="71" t="s">
        <v>137</v>
      </c>
      <c r="J73" s="19">
        <v>3</v>
      </c>
      <c r="K73" s="29">
        <f>8700000-K74</f>
        <v>8000000</v>
      </c>
      <c r="L73" s="62"/>
      <c r="M73" s="62">
        <f>1590197.24-M74</f>
        <v>1256197.24</v>
      </c>
      <c r="N73" s="21">
        <f t="shared" si="8"/>
        <v>6743802.7599999998</v>
      </c>
      <c r="O73" s="21"/>
      <c r="P73" s="21"/>
      <c r="Q73" s="21"/>
      <c r="R73" s="21">
        <f t="shared" si="9"/>
        <v>6743802.7599999998</v>
      </c>
      <c r="S73" s="66">
        <f>6179378.37-S74</f>
        <v>6078368.3700000001</v>
      </c>
      <c r="T73" s="23">
        <f t="shared" si="10"/>
        <v>0.90132653434840382</v>
      </c>
      <c r="U73" s="63">
        <v>897947.18</v>
      </c>
      <c r="V73" s="23">
        <f t="shared" si="11"/>
        <v>0.13315145948900797</v>
      </c>
      <c r="W73" s="62">
        <v>897947.18</v>
      </c>
      <c r="X73" s="23">
        <f t="shared" si="12"/>
        <v>0.13315145948900797</v>
      </c>
      <c r="Y73" s="5"/>
      <c r="Z73" s="5"/>
      <c r="AA73" s="5"/>
    </row>
    <row r="74" spans="1:27" ht="63" customHeight="1">
      <c r="A74" s="17" t="s">
        <v>81</v>
      </c>
      <c r="B74" s="18" t="s">
        <v>82</v>
      </c>
      <c r="C74" s="18" t="s">
        <v>111</v>
      </c>
      <c r="D74" s="18" t="s">
        <v>114</v>
      </c>
      <c r="E74" s="28" t="s">
        <v>60</v>
      </c>
      <c r="F74" s="18" t="s">
        <v>115</v>
      </c>
      <c r="G74" s="18" t="s">
        <v>50</v>
      </c>
      <c r="H74" s="61" t="s">
        <v>125</v>
      </c>
      <c r="I74" s="71" t="s">
        <v>137</v>
      </c>
      <c r="J74" s="39">
        <v>4</v>
      </c>
      <c r="K74" s="65">
        <f>200000+500000</f>
        <v>700000</v>
      </c>
      <c r="L74" s="62"/>
      <c r="M74" s="62">
        <f>334000</f>
        <v>334000</v>
      </c>
      <c r="N74" s="21">
        <f t="shared" si="8"/>
        <v>366000</v>
      </c>
      <c r="O74" s="21"/>
      <c r="P74" s="21"/>
      <c r="Q74" s="21"/>
      <c r="R74" s="21">
        <f t="shared" si="9"/>
        <v>366000</v>
      </c>
      <c r="S74" s="66">
        <v>101010</v>
      </c>
      <c r="T74" s="23">
        <f t="shared" si="10"/>
        <v>0.27598360655737703</v>
      </c>
      <c r="U74" s="70">
        <v>0</v>
      </c>
      <c r="V74" s="23">
        <f t="shared" si="11"/>
        <v>0</v>
      </c>
      <c r="W74" s="62">
        <v>0</v>
      </c>
      <c r="X74" s="23">
        <f t="shared" si="12"/>
        <v>0</v>
      </c>
      <c r="Y74" s="5"/>
      <c r="Z74" s="5"/>
      <c r="AA74" s="5"/>
    </row>
    <row r="75" spans="1:27" ht="63" customHeight="1">
      <c r="A75" s="17" t="s">
        <v>81</v>
      </c>
      <c r="B75" s="18" t="s">
        <v>82</v>
      </c>
      <c r="C75" s="18" t="s">
        <v>111</v>
      </c>
      <c r="D75" s="18" t="s">
        <v>114</v>
      </c>
      <c r="E75" s="28" t="s">
        <v>60</v>
      </c>
      <c r="F75" s="18" t="s">
        <v>115</v>
      </c>
      <c r="G75" s="18" t="s">
        <v>50</v>
      </c>
      <c r="H75" s="61" t="s">
        <v>139</v>
      </c>
      <c r="I75" s="71" t="s">
        <v>137</v>
      </c>
      <c r="J75" s="19">
        <v>3</v>
      </c>
      <c r="K75" s="65">
        <v>0</v>
      </c>
      <c r="L75" s="62">
        <v>2365114.6800000002</v>
      </c>
      <c r="M75" s="62">
        <v>0</v>
      </c>
      <c r="N75" s="21">
        <f t="shared" si="8"/>
        <v>2365114.6800000002</v>
      </c>
      <c r="O75" s="21"/>
      <c r="P75" s="21"/>
      <c r="Q75" s="21"/>
      <c r="R75" s="21">
        <f t="shared" si="9"/>
        <v>2365114.6800000002</v>
      </c>
      <c r="S75" s="66">
        <v>0</v>
      </c>
      <c r="T75" s="23">
        <f t="shared" si="10"/>
        <v>0</v>
      </c>
      <c r="U75" s="63"/>
      <c r="V75" s="23">
        <f t="shared" si="11"/>
        <v>0</v>
      </c>
      <c r="W75" s="62">
        <v>0</v>
      </c>
      <c r="X75" s="23">
        <f t="shared" si="12"/>
        <v>0</v>
      </c>
      <c r="Y75" s="5"/>
      <c r="Z75" s="5"/>
      <c r="AA75" s="5"/>
    </row>
    <row r="76" spans="1:27" ht="63" customHeight="1">
      <c r="A76" s="17" t="s">
        <v>81</v>
      </c>
      <c r="B76" s="18" t="s">
        <v>82</v>
      </c>
      <c r="C76" s="18" t="s">
        <v>70</v>
      </c>
      <c r="D76" s="18" t="s">
        <v>71</v>
      </c>
      <c r="E76" s="28" t="s">
        <v>60</v>
      </c>
      <c r="F76" s="18" t="s">
        <v>116</v>
      </c>
      <c r="G76" s="18" t="s">
        <v>50</v>
      </c>
      <c r="H76" s="61" t="s">
        <v>128</v>
      </c>
      <c r="I76" s="61" t="s">
        <v>140</v>
      </c>
      <c r="J76" s="19">
        <v>3</v>
      </c>
      <c r="K76" s="65">
        <v>998000</v>
      </c>
      <c r="L76" s="62">
        <v>578148</v>
      </c>
      <c r="M76" s="62">
        <v>578148</v>
      </c>
      <c r="N76" s="21">
        <f t="shared" si="8"/>
        <v>998000</v>
      </c>
      <c r="O76" s="21"/>
      <c r="P76" s="21"/>
      <c r="Q76" s="21"/>
      <c r="R76" s="21">
        <f t="shared" si="9"/>
        <v>998000</v>
      </c>
      <c r="S76" s="66">
        <v>892314.2</v>
      </c>
      <c r="T76" s="23">
        <f t="shared" si="10"/>
        <v>0.89410240480961922</v>
      </c>
      <c r="U76" s="63">
        <v>162137.79999999999</v>
      </c>
      <c r="V76" s="23">
        <f t="shared" si="11"/>
        <v>0.16246272545090179</v>
      </c>
      <c r="W76" s="62">
        <v>156813.16</v>
      </c>
      <c r="X76" s="23">
        <f t="shared" si="12"/>
        <v>0.15712741482965933</v>
      </c>
      <c r="Y76" s="5"/>
      <c r="Z76" s="5"/>
      <c r="AA76" s="5"/>
    </row>
    <row r="77" spans="1:27" ht="63" customHeight="1">
      <c r="A77" s="17" t="s">
        <v>81</v>
      </c>
      <c r="B77" s="18" t="s">
        <v>82</v>
      </c>
      <c r="C77" s="18" t="s">
        <v>70</v>
      </c>
      <c r="D77" s="18" t="s">
        <v>71</v>
      </c>
      <c r="E77" s="28" t="s">
        <v>60</v>
      </c>
      <c r="F77" s="18" t="s">
        <v>116</v>
      </c>
      <c r="G77" s="18" t="s">
        <v>50</v>
      </c>
      <c r="H77" s="61" t="s">
        <v>141</v>
      </c>
      <c r="I77" s="61" t="s">
        <v>140</v>
      </c>
      <c r="J77" s="19">
        <v>3</v>
      </c>
      <c r="K77" s="65">
        <v>0</v>
      </c>
      <c r="L77" s="62">
        <v>146007.29999999999</v>
      </c>
      <c r="M77" s="62">
        <v>0</v>
      </c>
      <c r="N77" s="21">
        <f t="shared" si="8"/>
        <v>146007.29999999999</v>
      </c>
      <c r="O77" s="21"/>
      <c r="P77" s="21"/>
      <c r="Q77" s="21"/>
      <c r="R77" s="21">
        <f t="shared" si="9"/>
        <v>146007.29999999999</v>
      </c>
      <c r="S77" s="66">
        <v>8300</v>
      </c>
      <c r="T77" s="23">
        <f t="shared" si="10"/>
        <v>5.6846472744855915E-2</v>
      </c>
      <c r="U77" s="63">
        <v>0</v>
      </c>
      <c r="V77" s="23">
        <f t="shared" si="11"/>
        <v>0</v>
      </c>
      <c r="W77" s="62">
        <v>0</v>
      </c>
      <c r="X77" s="23">
        <f t="shared" si="12"/>
        <v>0</v>
      </c>
      <c r="Y77" s="5"/>
      <c r="Z77" s="5"/>
      <c r="AA77" s="5"/>
    </row>
    <row r="78" spans="1:27" ht="15.75" customHeight="1">
      <c r="A78" s="84" t="s">
        <v>117</v>
      </c>
      <c r="B78" s="83"/>
      <c r="C78" s="83"/>
      <c r="D78" s="83"/>
      <c r="E78" s="83"/>
      <c r="F78" s="83"/>
      <c r="G78" s="83"/>
      <c r="H78" s="83"/>
      <c r="I78" s="83"/>
      <c r="J78" s="78"/>
      <c r="K78" s="34">
        <f t="shared" ref="K78:N78" si="13">SUM(K33:K77)</f>
        <v>151078000</v>
      </c>
      <c r="L78" s="34">
        <f t="shared" si="13"/>
        <v>46193773.179999992</v>
      </c>
      <c r="M78" s="34">
        <f t="shared" si="13"/>
        <v>32806614.719999995</v>
      </c>
      <c r="N78" s="34">
        <f t="shared" si="13"/>
        <v>164465158.46000004</v>
      </c>
      <c r="O78" s="34">
        <f t="shared" ref="O78:Q78" si="14">SUM(O33:O76)</f>
        <v>0</v>
      </c>
      <c r="P78" s="34">
        <f t="shared" si="14"/>
        <v>0</v>
      </c>
      <c r="Q78" s="34">
        <f t="shared" si="14"/>
        <v>0</v>
      </c>
      <c r="R78" s="34">
        <f t="shared" ref="R78:S78" si="15">SUM(R33:R77)</f>
        <v>164465158.46000004</v>
      </c>
      <c r="S78" s="34">
        <f t="shared" si="15"/>
        <v>102565561.09000002</v>
      </c>
      <c r="T78" s="35">
        <f t="shared" si="10"/>
        <v>0.62363093831174721</v>
      </c>
      <c r="U78" s="34">
        <f>SUM(U33:U77)</f>
        <v>31255497.450000003</v>
      </c>
      <c r="V78" s="35">
        <f t="shared" si="11"/>
        <v>0.19004327568627083</v>
      </c>
      <c r="W78" s="34">
        <f>SUM(W33:W77)</f>
        <v>31061011.52</v>
      </c>
      <c r="X78" s="35">
        <f t="shared" si="12"/>
        <v>0.18886073993328151</v>
      </c>
      <c r="Y78" s="5"/>
      <c r="Z78" s="5"/>
      <c r="AA78" s="5"/>
    </row>
    <row r="79" spans="1:27" ht="15.75" customHeight="1">
      <c r="A79" s="85" t="s">
        <v>118</v>
      </c>
      <c r="B79" s="83"/>
      <c r="C79" s="83"/>
      <c r="D79" s="83"/>
      <c r="E79" s="83"/>
      <c r="F79" s="83"/>
      <c r="G79" s="83"/>
      <c r="H79" s="83"/>
      <c r="I79" s="83"/>
      <c r="J79" s="78"/>
      <c r="K79" s="49">
        <f t="shared" ref="K79:S79" si="16">SUM(K30+K78)</f>
        <v>1094864000</v>
      </c>
      <c r="L79" s="49">
        <f t="shared" si="16"/>
        <v>70475623.25999999</v>
      </c>
      <c r="M79" s="49">
        <f t="shared" si="16"/>
        <v>57088464.799999997</v>
      </c>
      <c r="N79" s="49">
        <f t="shared" si="16"/>
        <v>1108251158.46</v>
      </c>
      <c r="O79" s="49">
        <f t="shared" si="16"/>
        <v>0</v>
      </c>
      <c r="P79" s="49">
        <f t="shared" si="16"/>
        <v>0</v>
      </c>
      <c r="Q79" s="49">
        <f t="shared" si="16"/>
        <v>-30626500</v>
      </c>
      <c r="R79" s="49">
        <f t="shared" si="16"/>
        <v>1077624658.46</v>
      </c>
      <c r="S79" s="49">
        <f t="shared" si="16"/>
        <v>389327710.88999999</v>
      </c>
      <c r="T79" s="50">
        <f t="shared" si="10"/>
        <v>0.36128322401825524</v>
      </c>
      <c r="U79" s="49">
        <f>SUM(U30+U78)</f>
        <v>318017647.24999994</v>
      </c>
      <c r="V79" s="50">
        <f t="shared" si="11"/>
        <v>0.2951098462283418</v>
      </c>
      <c r="W79" s="49">
        <f>SUM(W30+W78)</f>
        <v>314819051.08999997</v>
      </c>
      <c r="X79" s="50">
        <f t="shared" si="12"/>
        <v>0.29214165490598376</v>
      </c>
      <c r="Y79" s="25"/>
      <c r="Z79" s="5"/>
      <c r="AA79" s="5"/>
    </row>
    <row r="80" spans="1:27" ht="14.25" customHeight="1">
      <c r="A80" s="51" t="s">
        <v>119</v>
      </c>
      <c r="B80" s="52"/>
      <c r="C80" s="52"/>
      <c r="D80" s="52"/>
      <c r="E80" s="52"/>
      <c r="F80" s="52"/>
      <c r="G80" s="52"/>
      <c r="H80" s="53"/>
      <c r="I80" s="53"/>
      <c r="J80" s="53"/>
      <c r="K80" s="52"/>
      <c r="L80" s="52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"/>
      <c r="Z80" s="5"/>
      <c r="AA80" s="5"/>
    </row>
    <row r="81" spans="1:27" ht="14.25" customHeight="1">
      <c r="A81" s="51" t="s">
        <v>120</v>
      </c>
      <c r="B81" s="56"/>
      <c r="C81" s="52"/>
      <c r="D81" s="52"/>
      <c r="E81" s="52"/>
      <c r="F81" s="52"/>
      <c r="G81" s="52"/>
      <c r="H81" s="53"/>
      <c r="I81" s="53"/>
      <c r="J81" s="53"/>
      <c r="K81" s="52"/>
      <c r="L81" s="52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"/>
      <c r="Z81" s="5"/>
      <c r="AA81" s="5"/>
    </row>
    <row r="82" spans="1:27" ht="14.25" customHeight="1">
      <c r="A82" s="86" t="s">
        <v>121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78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"/>
      <c r="Z82" s="5"/>
      <c r="AA82" s="5"/>
    </row>
    <row r="83" spans="1:27" ht="14.25" customHeight="1">
      <c r="A83" s="5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5"/>
      <c r="O83" s="55"/>
      <c r="P83" s="55"/>
      <c r="Q83" s="5"/>
      <c r="R83" s="5"/>
      <c r="S83" s="5"/>
      <c r="T83" s="5"/>
      <c r="U83" s="5"/>
      <c r="V83" s="5"/>
      <c r="W83" s="5"/>
      <c r="X83" s="58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</sheetData>
  <mergeCells count="27">
    <mergeCell ref="R11:R12"/>
    <mergeCell ref="A1:F1"/>
    <mergeCell ref="A2:F2"/>
    <mergeCell ref="A3:F3"/>
    <mergeCell ref="A4:F4"/>
    <mergeCell ref="A6:F6"/>
    <mergeCell ref="A30:J30"/>
    <mergeCell ref="A78:J78"/>
    <mergeCell ref="A79:J79"/>
    <mergeCell ref="A82:M82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A12:B12"/>
    <mergeCell ref="C12:C13"/>
    <mergeCell ref="D12:D13"/>
    <mergeCell ref="G12:G13"/>
    <mergeCell ref="J12:J13"/>
  </mergeCells>
  <printOptions horizontalCentered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2023-08-30T14:07:51Z</dcterms:modified>
</cp:coreProperties>
</file>