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645" windowWidth="28455" windowHeight="11700"/>
  </bookViews>
  <sheets>
    <sheet name="MARÇO" sheetId="1" r:id="rId1"/>
  </sheets>
  <calcPr calcId="125725"/>
  <extLst>
    <ext uri="GoogleSheetsCustomDataVersion2">
      <go:sheetsCustomData xmlns:go="http://customooxmlschemas.google.com/" r:id="rId5" roundtripDataChecksum="eJO4y5KuV3NK6Ym9h6LGPN7Dy2tOdXldppq8bV3PhBs="/>
    </ext>
  </extLst>
</workbook>
</file>

<file path=xl/calcChain.xml><?xml version="1.0" encoding="utf-8"?>
<calcChain xmlns="http://schemas.openxmlformats.org/spreadsheetml/2006/main">
  <c r="Q66" i="1"/>
  <c r="P66"/>
  <c r="O66"/>
  <c r="M66"/>
  <c r="R65"/>
  <c r="T65" s="1"/>
  <c r="N65"/>
  <c r="X64"/>
  <c r="V64"/>
  <c r="T64"/>
  <c r="R64"/>
  <c r="N64"/>
  <c r="S63"/>
  <c r="N63"/>
  <c r="R63" s="1"/>
  <c r="S62"/>
  <c r="L62"/>
  <c r="N62" s="1"/>
  <c r="R62" s="1"/>
  <c r="U61"/>
  <c r="S61"/>
  <c r="R61"/>
  <c r="T61" s="1"/>
  <c r="N61"/>
  <c r="L61"/>
  <c r="X60"/>
  <c r="V60"/>
  <c r="S60"/>
  <c r="R60"/>
  <c r="T60" s="1"/>
  <c r="N60"/>
  <c r="K60"/>
  <c r="V59"/>
  <c r="T59"/>
  <c r="S59"/>
  <c r="R59"/>
  <c r="X59" s="1"/>
  <c r="N59"/>
  <c r="K59"/>
  <c r="X58"/>
  <c r="V58"/>
  <c r="T58"/>
  <c r="R58"/>
  <c r="N58"/>
  <c r="V57"/>
  <c r="T57"/>
  <c r="S57"/>
  <c r="S56" s="1"/>
  <c r="S66" s="1"/>
  <c r="R57"/>
  <c r="X57" s="1"/>
  <c r="N57"/>
  <c r="K57"/>
  <c r="K56"/>
  <c r="N56" s="1"/>
  <c r="R56" s="1"/>
  <c r="X55"/>
  <c r="V55"/>
  <c r="T55"/>
  <c r="R55"/>
  <c r="N55"/>
  <c r="X54"/>
  <c r="V54"/>
  <c r="T54"/>
  <c r="R54"/>
  <c r="N54"/>
  <c r="V53"/>
  <c r="T53"/>
  <c r="R53"/>
  <c r="X53" s="1"/>
  <c r="N53"/>
  <c r="N52"/>
  <c r="R52" s="1"/>
  <c r="R51"/>
  <c r="T51" s="1"/>
  <c r="N51"/>
  <c r="X50"/>
  <c r="V50"/>
  <c r="T50"/>
  <c r="R50"/>
  <c r="N50"/>
  <c r="N49"/>
  <c r="R49" s="1"/>
  <c r="X48"/>
  <c r="V48"/>
  <c r="T48"/>
  <c r="R48"/>
  <c r="N48"/>
  <c r="X47"/>
  <c r="R47"/>
  <c r="T47" s="1"/>
  <c r="N47"/>
  <c r="T46"/>
  <c r="R46"/>
  <c r="V46" s="1"/>
  <c r="N46"/>
  <c r="N45"/>
  <c r="R45" s="1"/>
  <c r="S44"/>
  <c r="R44"/>
  <c r="T44" s="1"/>
  <c r="N44"/>
  <c r="L44"/>
  <c r="L66" s="1"/>
  <c r="W43"/>
  <c r="U43"/>
  <c r="S43"/>
  <c r="K43"/>
  <c r="N43" s="1"/>
  <c r="R43" s="1"/>
  <c r="W42"/>
  <c r="W66" s="1"/>
  <c r="U42"/>
  <c r="U66" s="1"/>
  <c r="S42"/>
  <c r="K42"/>
  <c r="K66" s="1"/>
  <c r="R41"/>
  <c r="T41" s="1"/>
  <c r="N41"/>
  <c r="X40"/>
  <c r="V40"/>
  <c r="T40"/>
  <c r="R40"/>
  <c r="N40"/>
  <c r="N39"/>
  <c r="R39" s="1"/>
  <c r="X38"/>
  <c r="V38"/>
  <c r="T38"/>
  <c r="R38"/>
  <c r="N38"/>
  <c r="X37"/>
  <c r="R37"/>
  <c r="T37" s="1"/>
  <c r="N37"/>
  <c r="T36"/>
  <c r="R36"/>
  <c r="V36" s="1"/>
  <c r="N36"/>
  <c r="N35"/>
  <c r="R35" s="1"/>
  <c r="N34"/>
  <c r="R34" s="1"/>
  <c r="X33"/>
  <c r="V33"/>
  <c r="T33"/>
  <c r="R33"/>
  <c r="N33"/>
  <c r="X32"/>
  <c r="V32"/>
  <c r="T32"/>
  <c r="R32"/>
  <c r="N32"/>
  <c r="V31"/>
  <c r="T31"/>
  <c r="R31"/>
  <c r="X31" s="1"/>
  <c r="N31"/>
  <c r="P28"/>
  <c r="P67" s="1"/>
  <c r="O28"/>
  <c r="O67" s="1"/>
  <c r="M28"/>
  <c r="M67" s="1"/>
  <c r="L28"/>
  <c r="K28"/>
  <c r="K67" s="1"/>
  <c r="X27"/>
  <c r="V27"/>
  <c r="T27"/>
  <c r="R27"/>
  <c r="N27"/>
  <c r="W26"/>
  <c r="W25" s="1"/>
  <c r="W28" s="1"/>
  <c r="U26"/>
  <c r="U25" s="1"/>
  <c r="S26"/>
  <c r="K26"/>
  <c r="N26" s="1"/>
  <c r="R26" s="1"/>
  <c r="T25"/>
  <c r="S25"/>
  <c r="S28" s="1"/>
  <c r="R25"/>
  <c r="V25" s="1"/>
  <c r="Q25"/>
  <c r="Q28" s="1"/>
  <c r="Q67" s="1"/>
  <c r="N25"/>
  <c r="M25"/>
  <c r="L25"/>
  <c r="K25"/>
  <c r="N24"/>
  <c r="R24" s="1"/>
  <c r="X23"/>
  <c r="V23"/>
  <c r="T23"/>
  <c r="R23"/>
  <c r="N23"/>
  <c r="X22"/>
  <c r="V22"/>
  <c r="T22"/>
  <c r="R22"/>
  <c r="N22"/>
  <c r="V21"/>
  <c r="T21"/>
  <c r="R21"/>
  <c r="X21" s="1"/>
  <c r="N21"/>
  <c r="N20"/>
  <c r="R20" s="1"/>
  <c r="R19"/>
  <c r="T19" s="1"/>
  <c r="N19"/>
  <c r="X18"/>
  <c r="V18"/>
  <c r="T18"/>
  <c r="R18"/>
  <c r="N18"/>
  <c r="N17"/>
  <c r="R17" s="1"/>
  <c r="X16"/>
  <c r="V16"/>
  <c r="T16"/>
  <c r="R16"/>
  <c r="N16"/>
  <c r="X15"/>
  <c r="R15"/>
  <c r="T15" s="1"/>
  <c r="N15"/>
  <c r="N14"/>
  <c r="N28" s="1"/>
  <c r="X52" l="1"/>
  <c r="T52"/>
  <c r="V52"/>
  <c r="X34"/>
  <c r="T34"/>
  <c r="V34"/>
  <c r="T63"/>
  <c r="V63"/>
  <c r="X63"/>
  <c r="V35"/>
  <c r="X35"/>
  <c r="T35"/>
  <c r="T24"/>
  <c r="V24"/>
  <c r="X24"/>
  <c r="V62"/>
  <c r="T62"/>
  <c r="X62"/>
  <c r="V39"/>
  <c r="T39"/>
  <c r="X39"/>
  <c r="V49"/>
  <c r="T49"/>
  <c r="X49"/>
  <c r="V20"/>
  <c r="X20"/>
  <c r="T20"/>
  <c r="T56"/>
  <c r="V56"/>
  <c r="X56"/>
  <c r="W67"/>
  <c r="X43"/>
  <c r="V43"/>
  <c r="T43"/>
  <c r="V17"/>
  <c r="T17"/>
  <c r="X17"/>
  <c r="U28"/>
  <c r="U67" s="1"/>
  <c r="V45"/>
  <c r="T45"/>
  <c r="X45"/>
  <c r="X26"/>
  <c r="V26"/>
  <c r="T26"/>
  <c r="S67"/>
  <c r="L67"/>
  <c r="R66"/>
  <c r="V15"/>
  <c r="V37"/>
  <c r="V47"/>
  <c r="N42"/>
  <c r="R42" s="1"/>
  <c r="R14"/>
  <c r="X25"/>
  <c r="X44"/>
  <c r="X19"/>
  <c r="V44"/>
  <c r="V61"/>
  <c r="V19"/>
  <c r="X36"/>
  <c r="V41"/>
  <c r="X46"/>
  <c r="V51"/>
  <c r="X65"/>
  <c r="X61"/>
  <c r="X41"/>
  <c r="X51"/>
  <c r="X66" l="1"/>
  <c r="V66"/>
  <c r="T66"/>
  <c r="V42"/>
  <c r="X42"/>
  <c r="T42"/>
  <c r="V14"/>
  <c r="R28"/>
  <c r="X14"/>
  <c r="T14"/>
  <c r="N66"/>
  <c r="N67" s="1"/>
  <c r="T28" l="1"/>
  <c r="X28"/>
  <c r="V28"/>
  <c r="R67"/>
  <c r="T67" l="1"/>
  <c r="V67"/>
  <c r="X67"/>
</calcChain>
</file>

<file path=xl/sharedStrings.xml><?xml version="1.0" encoding="utf-8"?>
<sst xmlns="http://schemas.openxmlformats.org/spreadsheetml/2006/main" count="500" uniqueCount="126">
  <si>
    <t>ANEXO II</t>
  </si>
  <si>
    <t>Sigla: TJAM</t>
  </si>
  <si>
    <t>Nome do Órgão: TRIBUNAL DE JUSTIÇA DO AMAZONAS</t>
  </si>
  <si>
    <t>JOMAR RICARDO SAUNDERS FERNANDES</t>
  </si>
  <si>
    <t>Responsável pela Informação: SECRETÁRIA DE ORÇAMENTO E FINANÇAS</t>
  </si>
  <si>
    <t>Mês de Referência: 03/2026</t>
  </si>
  <si>
    <t>Data da Publicação: 13/04/2026</t>
  </si>
  <si>
    <t xml:space="preserve"> RESOLUÇÃO 102 CNJ - ANEXO II - DOTAÇÃO E EXECUÇÃO ORÇAMENTÁRIA</t>
  </si>
  <si>
    <t>Classificação Orçamentária</t>
  </si>
  <si>
    <t>Dotação Inicial</t>
  </si>
  <si>
    <t>Créditos Adicionais</t>
  </si>
  <si>
    <t>Dotação Atualizada</t>
  </si>
  <si>
    <t>Contingenciado</t>
  </si>
  <si>
    <t>Movimentação Líquida de Créditos</t>
  </si>
  <si>
    <t>Dotação Líquida</t>
  </si>
  <si>
    <t>Execução</t>
  </si>
  <si>
    <t>Unidade Orçamentária</t>
  </si>
  <si>
    <t>Função e Subfunção</t>
  </si>
  <si>
    <t>Programática
(Programa, Ação e Subtítulo)</t>
  </si>
  <si>
    <t>Descrição</t>
  </si>
  <si>
    <t>Esfera</t>
  </si>
  <si>
    <t>Fonte</t>
  </si>
  <si>
    <t>GND</t>
  </si>
  <si>
    <t>Acréscimos</t>
  </si>
  <si>
    <t>Decréscimos</t>
  </si>
  <si>
    <t>Provisão</t>
  </si>
  <si>
    <t>Destaque</t>
  </si>
  <si>
    <t>Empenhado</t>
  </si>
  <si>
    <t>%</t>
  </si>
  <si>
    <t>Liquidado</t>
  </si>
  <si>
    <t>Pago</t>
  </si>
  <si>
    <t>Código</t>
  </si>
  <si>
    <t>Programa</t>
  </si>
  <si>
    <t>Ação e Subtítulo</t>
  </si>
  <si>
    <t>A</t>
  </si>
  <si>
    <t>B</t>
  </si>
  <si>
    <t>C</t>
  </si>
  <si>
    <t>D=A+B-C</t>
  </si>
  <si>
    <t>E</t>
  </si>
  <si>
    <t>F</t>
  </si>
  <si>
    <t>G</t>
  </si>
  <si>
    <t>H = D-E+F+G</t>
  </si>
  <si>
    <t>I</t>
  </si>
  <si>
    <t>I / H</t>
  </si>
  <si>
    <t>J</t>
  </si>
  <si>
    <t>J / H</t>
  </si>
  <si>
    <t>K</t>
  </si>
  <si>
    <t>K / H</t>
  </si>
  <si>
    <t>4101</t>
  </si>
  <si>
    <t>TJAM</t>
  </si>
  <si>
    <t>02.061</t>
  </si>
  <si>
    <t>3290/2560.0001</t>
  </si>
  <si>
    <t>Prestação Jurisdicional do 1° Grau na Justiça Estadual</t>
  </si>
  <si>
    <t>Apreciação e Julgamento da Causas na Justiça Estadual do 1° Grau</t>
  </si>
  <si>
    <t>1</t>
  </si>
  <si>
    <t>1.500.100.0.0000.0000</t>
  </si>
  <si>
    <t>Recursos não Vinculados de Impostos</t>
  </si>
  <si>
    <t>3290/2561.0001</t>
  </si>
  <si>
    <t>Benefícios aos Servidores do 1° Grau</t>
  </si>
  <si>
    <t>1.501.100.0.0000.0000</t>
  </si>
  <si>
    <t>3290/2563.0001</t>
  </si>
  <si>
    <t>Remuneração de Pessoal Ativo e Encargos Sociais do 1° Grau</t>
  </si>
  <si>
    <t>3290/2744.0001</t>
  </si>
  <si>
    <t>Remuneração de Pessoal Ativo e Encargos Sociais do Apoio Administrativo</t>
  </si>
  <si>
    <t>3290/2745.0001</t>
  </si>
  <si>
    <t>Benefícios aos Servidores do Apoio Administrativo</t>
  </si>
  <si>
    <t>3291/2564.0001</t>
  </si>
  <si>
    <t>Prestação Jurisdicional do 2° Grau e Gestão Administrativa na Justiça Estadual</t>
  </si>
  <si>
    <t>Benefícios aos Servidores do 2° Grau</t>
  </si>
  <si>
    <t>3291/2565.0001</t>
  </si>
  <si>
    <t>Apreciação e Julgamento de Causas na Justiça Estadual do 2° Grau</t>
  </si>
  <si>
    <t>3291/2566.0001</t>
  </si>
  <si>
    <t>Remuneração de Pessoal Ativo e Encargos Sociais do 2° Grau</t>
  </si>
  <si>
    <t>02.128</t>
  </si>
  <si>
    <t>3290/2218.0001</t>
  </si>
  <si>
    <t>Formação e aperfeiçoamento dos Servidores</t>
  </si>
  <si>
    <t>3290/2347.0001</t>
  </si>
  <si>
    <t>Operacionalização da Escola Superior da Magistratura - ESMAM</t>
  </si>
  <si>
    <t>02.272</t>
  </si>
  <si>
    <t>0002.0001.0001</t>
  </si>
  <si>
    <t>Previdência de Inativos e Pensionistas do Estado</t>
  </si>
  <si>
    <t>Encargos com Pessoal Inativo e Pensionistas</t>
  </si>
  <si>
    <t>2</t>
  </si>
  <si>
    <t>28.846</t>
  </si>
  <si>
    <t>0003.0023.0001</t>
  </si>
  <si>
    <t>Operações Especiais: Cumprimento de Senteças Judiciais</t>
  </si>
  <si>
    <t>Cumprimento de Sentenças Judiciais Transitadas em julgado</t>
  </si>
  <si>
    <t>Total l</t>
  </si>
  <si>
    <t>4703</t>
  </si>
  <si>
    <t>Fundo de Modernização e Reaparelhamento do Poder Judiciário Estadual</t>
  </si>
  <si>
    <t>3290/1476.0002</t>
  </si>
  <si>
    <t>Construção, Ampliação e Reforma de Unidades Jurisdicionais do 1° Grau</t>
  </si>
  <si>
    <t>1.759.201.0.0000.0000</t>
  </si>
  <si>
    <t>Recursos Vinculados a Fundos - Diretamente Arrecadados</t>
  </si>
  <si>
    <t>3290/1476.0003</t>
  </si>
  <si>
    <t>2.759.201.0.0000.0000</t>
  </si>
  <si>
    <t>3290/1476.0004</t>
  </si>
  <si>
    <t>3290/1476.0005</t>
  </si>
  <si>
    <t>3290.1476.0006</t>
  </si>
  <si>
    <t>3290.1476.0007</t>
  </si>
  <si>
    <t>3290.1476.0009</t>
  </si>
  <si>
    <t>3290/1476.0011</t>
  </si>
  <si>
    <t>3290/1477.0001</t>
  </si>
  <si>
    <t>Aprimoramento da Segurança Institucional no 1° Grau</t>
  </si>
  <si>
    <t>Apreciação e Julgamento de Causas na Justiça Estadual do 1° Grau</t>
  </si>
  <si>
    <t>Benefícios aos Servidores do 1. Grau</t>
  </si>
  <si>
    <t>3290/2581.0001</t>
  </si>
  <si>
    <t>Operacionalização da Corregedoria Geral de Justiça - CGJ/AM</t>
  </si>
  <si>
    <t>3291/1478.0001</t>
  </si>
  <si>
    <t>Construção, Ampliação e Reforma de Unidades Jurisdicionais do 2° Grau</t>
  </si>
  <si>
    <t>3291/1478.0011</t>
  </si>
  <si>
    <t>3291/1479.0001</t>
  </si>
  <si>
    <t>Aprimoramento da Segurança Institucional no 2. Grau</t>
  </si>
  <si>
    <t>Benefícios aos Servidores do 2.° Grau</t>
  </si>
  <si>
    <t xml:space="preserve">1 </t>
  </si>
  <si>
    <t>02.126</t>
  </si>
  <si>
    <t>3290/2627.0001</t>
  </si>
  <si>
    <t>Manutenção, Ampliação e Aperfeiçoamento da Infraestrutura de TIC no 1° Grau do Poder Judiciário</t>
  </si>
  <si>
    <t>Manutenção, Ampliação e Aperfeiçoamento da Infraestrutura de TIC do Poder Judiciário</t>
  </si>
  <si>
    <t>Formação e Aperfeiçoamento dos servidores</t>
  </si>
  <si>
    <t>1.759.285.0.0000.0000</t>
  </si>
  <si>
    <t>Total ll</t>
  </si>
  <si>
    <t>Total lll</t>
  </si>
  <si>
    <t>Obs.: 1. Movimentação líquida de créditos = Provisão/Destaque recebidos - Provisão/Destaque concedidos</t>
  </si>
  <si>
    <t xml:space="preserve">           2. Nas colunas relativas à execução, não incluir as despesas referentes aos restos a pagar do ano anterior.</t>
  </si>
  <si>
    <t xml:space="preserve">           3.No campo Crédtitos Adicionais: Acréscimos, são somados os valores de Dotação Suplementar e Dotação Especial.</t>
  </si>
</sst>
</file>

<file path=xl/styles.xml><?xml version="1.0" encoding="utf-8"?>
<styleSheet xmlns="http://schemas.openxmlformats.org/spreadsheetml/2006/main">
  <numFmts count="4">
    <numFmt numFmtId="164" formatCode="0.0%"/>
    <numFmt numFmtId="165" formatCode="0\ ;\(0\);\-#\ ;@\ "/>
    <numFmt numFmtId="166" formatCode="#,##0.00\ ;#,##0.00\ ;\-#\ ;@\ "/>
    <numFmt numFmtId="167" formatCode="#,##0.00\ ;#,##0.00\ ;\-#\ "/>
  </numFmts>
  <fonts count="13">
    <font>
      <sz val="10"/>
      <color rgb="FF000000"/>
      <name val="Arial"/>
      <scheme val="minor"/>
    </font>
    <font>
      <sz val="9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8000"/>
        <bgColor rgb="FF008000"/>
      </patternFill>
    </fill>
    <fill>
      <patternFill patternType="solid">
        <fgColor rgb="FFDBE5F1"/>
        <bgColor rgb="FFDBE5F1"/>
      </patternFill>
    </fill>
    <fill>
      <patternFill patternType="solid">
        <fgColor rgb="FFFF00FF"/>
        <bgColor rgb="FFFF00FF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00DCFF"/>
        <bgColor rgb="FF00DCFF"/>
      </patternFill>
    </fill>
  </fills>
  <borders count="20"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109">
    <xf numFmtId="0" fontId="0" fillId="0" borderId="0" xfId="0" applyFont="1" applyAlignment="1"/>
    <xf numFmtId="0" fontId="3" fillId="0" borderId="0" xfId="0" applyFont="1"/>
    <xf numFmtId="0" fontId="3" fillId="2" borderId="4" xfId="0" applyFont="1" applyFill="1" applyBorder="1"/>
    <xf numFmtId="164" fontId="3" fillId="2" borderId="4" xfId="0" applyNumberFormat="1" applyFont="1" applyFill="1" applyBorder="1"/>
    <xf numFmtId="0" fontId="3" fillId="2" borderId="10" xfId="0" applyFont="1" applyFill="1" applyBorder="1"/>
    <xf numFmtId="164" fontId="3" fillId="0" borderId="0" xfId="0" applyNumberFormat="1" applyFont="1"/>
    <xf numFmtId="0" fontId="4" fillId="0" borderId="15" xfId="0" applyFont="1" applyBorder="1" applyAlignment="1">
      <alignment horizontal="center" wrapText="1"/>
    </xf>
    <xf numFmtId="164" fontId="4" fillId="0" borderId="15" xfId="0" applyNumberFormat="1" applyFont="1" applyBorder="1" applyAlignment="1">
      <alignment horizontal="center" wrapText="1"/>
    </xf>
    <xf numFmtId="165" fontId="4" fillId="0" borderId="15" xfId="0" applyNumberFormat="1" applyFont="1" applyBorder="1" applyAlignment="1">
      <alignment horizontal="center" wrapText="1"/>
    </xf>
    <xf numFmtId="0" fontId="4" fillId="0" borderId="15" xfId="0" applyFont="1" applyBorder="1" applyAlignment="1">
      <alignment horizontal="center" vertical="center" wrapText="1"/>
    </xf>
    <xf numFmtId="164" fontId="4" fillId="0" borderId="15" xfId="0" applyNumberFormat="1" applyFont="1" applyBorder="1" applyAlignment="1">
      <alignment horizontal="center" vertical="center" wrapText="1"/>
    </xf>
    <xf numFmtId="165" fontId="4" fillId="0" borderId="15" xfId="0" applyNumberFormat="1" applyFont="1" applyBorder="1" applyAlignment="1">
      <alignment horizontal="center" vertical="center" wrapText="1"/>
    </xf>
    <xf numFmtId="49" fontId="5" fillId="3" borderId="15" xfId="0" applyNumberFormat="1" applyFont="1" applyFill="1" applyBorder="1" applyAlignment="1">
      <alignment horizontal="center" vertical="center" wrapText="1"/>
    </xf>
    <xf numFmtId="49" fontId="5" fillId="0" borderId="15" xfId="0" applyNumberFormat="1" applyFont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166" fontId="5" fillId="0" borderId="15" xfId="0" applyNumberFormat="1" applyFont="1" applyBorder="1" applyAlignment="1">
      <alignment horizontal="center" vertical="center"/>
    </xf>
    <xf numFmtId="166" fontId="5" fillId="2" borderId="15" xfId="0" applyNumberFormat="1" applyFont="1" applyFill="1" applyBorder="1" applyAlignment="1">
      <alignment horizontal="center" vertical="center"/>
    </xf>
    <xf numFmtId="4" fontId="4" fillId="2" borderId="15" xfId="0" applyNumberFormat="1" applyFont="1" applyFill="1" applyBorder="1" applyAlignment="1">
      <alignment horizontal="center" vertical="center"/>
    </xf>
    <xf numFmtId="4" fontId="3" fillId="2" borderId="15" xfId="0" applyNumberFormat="1" applyFont="1" applyFill="1" applyBorder="1" applyAlignment="1">
      <alignment horizontal="center" vertical="center"/>
    </xf>
    <xf numFmtId="164" fontId="4" fillId="2" borderId="15" xfId="0" applyNumberFormat="1" applyFont="1" applyFill="1" applyBorder="1" applyAlignment="1">
      <alignment horizontal="center" vertical="center"/>
    </xf>
    <xf numFmtId="166" fontId="5" fillId="4" borderId="15" xfId="0" applyNumberFormat="1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166" fontId="3" fillId="0" borderId="0" xfId="0" applyNumberFormat="1" applyFont="1"/>
    <xf numFmtId="0" fontId="5" fillId="5" borderId="15" xfId="0" applyFont="1" applyFill="1" applyBorder="1" applyAlignment="1">
      <alignment horizontal="center" vertical="center" wrapText="1"/>
    </xf>
    <xf numFmtId="166" fontId="5" fillId="5" borderId="15" xfId="0" applyNumberFormat="1" applyFont="1" applyFill="1" applyBorder="1" applyAlignment="1">
      <alignment horizontal="center" vertical="center"/>
    </xf>
    <xf numFmtId="167" fontId="5" fillId="0" borderId="15" xfId="0" applyNumberFormat="1" applyFont="1" applyBorder="1" applyAlignment="1">
      <alignment horizontal="center" vertical="center"/>
    </xf>
    <xf numFmtId="4" fontId="4" fillId="0" borderId="15" xfId="0" applyNumberFormat="1" applyFont="1" applyBorder="1" applyAlignment="1">
      <alignment horizontal="center" vertical="center"/>
    </xf>
    <xf numFmtId="164" fontId="4" fillId="0" borderId="15" xfId="0" applyNumberFormat="1" applyFont="1" applyBorder="1" applyAlignment="1">
      <alignment horizontal="center" vertical="center"/>
    </xf>
    <xf numFmtId="166" fontId="5" fillId="0" borderId="15" xfId="0" applyNumberFormat="1" applyFont="1" applyBorder="1" applyAlignment="1">
      <alignment horizontal="center" vertical="center"/>
    </xf>
    <xf numFmtId="166" fontId="5" fillId="2" borderId="15" xfId="0" applyNumberFormat="1" applyFont="1" applyFill="1" applyBorder="1" applyAlignment="1">
      <alignment horizontal="center" vertical="center"/>
    </xf>
    <xf numFmtId="166" fontId="5" fillId="5" borderId="15" xfId="0" applyNumberFormat="1" applyFont="1" applyFill="1" applyBorder="1" applyAlignment="1">
      <alignment horizontal="center" vertical="center"/>
    </xf>
    <xf numFmtId="166" fontId="5" fillId="4" borderId="15" xfId="0" applyNumberFormat="1" applyFont="1" applyFill="1" applyBorder="1" applyAlignment="1">
      <alignment horizontal="center" vertical="center"/>
    </xf>
    <xf numFmtId="49" fontId="5" fillId="2" borderId="15" xfId="0" applyNumberFormat="1" applyFont="1" applyFill="1" applyBorder="1" applyAlignment="1">
      <alignment horizontal="center" vertical="center" wrapText="1"/>
    </xf>
    <xf numFmtId="4" fontId="4" fillId="6" borderId="15" xfId="0" applyNumberFormat="1" applyFont="1" applyFill="1" applyBorder="1" applyAlignment="1">
      <alignment horizontal="center" vertical="center" wrapText="1"/>
    </xf>
    <xf numFmtId="164" fontId="4" fillId="6" borderId="15" xfId="0" applyNumberFormat="1" applyFont="1" applyFill="1" applyBorder="1" applyAlignment="1">
      <alignment horizontal="center" vertical="center"/>
    </xf>
    <xf numFmtId="49" fontId="3" fillId="6" borderId="15" xfId="0" applyNumberFormat="1" applyFont="1" applyFill="1" applyBorder="1"/>
    <xf numFmtId="4" fontId="3" fillId="6" borderId="15" xfId="0" applyNumberFormat="1" applyFont="1" applyFill="1" applyBorder="1"/>
    <xf numFmtId="164" fontId="3" fillId="6" borderId="15" xfId="0" applyNumberFormat="1" applyFont="1" applyFill="1" applyBorder="1"/>
    <xf numFmtId="49" fontId="3" fillId="0" borderId="15" xfId="0" applyNumberFormat="1" applyFont="1" applyBorder="1"/>
    <xf numFmtId="4" fontId="3" fillId="0" borderId="15" xfId="0" applyNumberFormat="1" applyFont="1" applyBorder="1"/>
    <xf numFmtId="164" fontId="3" fillId="0" borderId="15" xfId="0" applyNumberFormat="1" applyFont="1" applyBorder="1"/>
    <xf numFmtId="0" fontId="5" fillId="7" borderId="15" xfId="0" applyFont="1" applyFill="1" applyBorder="1" applyAlignment="1">
      <alignment horizontal="center" vertical="center" wrapText="1"/>
    </xf>
    <xf numFmtId="166" fontId="5" fillId="7" borderId="15" xfId="0" applyNumberFormat="1" applyFont="1" applyFill="1" applyBorder="1" applyAlignment="1">
      <alignment horizontal="center" vertical="center"/>
    </xf>
    <xf numFmtId="49" fontId="5" fillId="3" borderId="15" xfId="0" applyNumberFormat="1" applyFont="1" applyFill="1" applyBorder="1" applyAlignment="1">
      <alignment horizontal="center" vertical="center" wrapText="1"/>
    </xf>
    <xf numFmtId="49" fontId="5" fillId="0" borderId="15" xfId="0" applyNumberFormat="1" applyFont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center" vertical="center" wrapText="1"/>
    </xf>
    <xf numFmtId="167" fontId="5" fillId="0" borderId="15" xfId="0" applyNumberFormat="1" applyFont="1" applyBorder="1" applyAlignment="1">
      <alignment horizontal="center" vertical="center"/>
    </xf>
    <xf numFmtId="166" fontId="5" fillId="7" borderId="15" xfId="0" applyNumberFormat="1" applyFont="1" applyFill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4" fontId="4" fillId="8" borderId="15" xfId="0" applyNumberFormat="1" applyFont="1" applyFill="1" applyBorder="1" applyAlignment="1">
      <alignment horizontal="center" vertical="center" wrapText="1"/>
    </xf>
    <xf numFmtId="4" fontId="4" fillId="8" borderId="17" xfId="0" applyNumberFormat="1" applyFont="1" applyFill="1" applyBorder="1" applyAlignment="1">
      <alignment horizontal="center" vertical="center" wrapText="1"/>
    </xf>
    <xf numFmtId="164" fontId="4" fillId="8" borderId="17" xfId="0" applyNumberFormat="1" applyFont="1" applyFill="1" applyBorder="1" applyAlignment="1">
      <alignment horizontal="center" vertical="center"/>
    </xf>
    <xf numFmtId="0" fontId="7" fillId="2" borderId="18" xfId="0" applyFont="1" applyFill="1" applyBorder="1"/>
    <xf numFmtId="0" fontId="3" fillId="2" borderId="19" xfId="0" applyFont="1" applyFill="1" applyBorder="1"/>
    <xf numFmtId="4" fontId="3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  <xf numFmtId="4" fontId="3" fillId="0" borderId="0" xfId="0" applyNumberFormat="1" applyFont="1"/>
    <xf numFmtId="4" fontId="9" fillId="0" borderId="0" xfId="0" applyNumberFormat="1" applyFont="1" applyAlignment="1">
      <alignment horizontal="center"/>
    </xf>
    <xf numFmtId="4" fontId="10" fillId="0" borderId="0" xfId="0" applyNumberFormat="1" applyFont="1" applyAlignment="1"/>
    <xf numFmtId="4" fontId="10" fillId="2" borderId="0" xfId="0" applyNumberFormat="1" applyFont="1" applyFill="1" applyAlignment="1"/>
    <xf numFmtId="0" fontId="3" fillId="0" borderId="0" xfId="0" applyFont="1" applyAlignment="1">
      <alignment horizontal="right"/>
    </xf>
    <xf numFmtId="166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167" fontId="3" fillId="0" borderId="0" xfId="0" applyNumberFormat="1" applyFont="1" applyAlignment="1">
      <alignment horizontal="center"/>
    </xf>
    <xf numFmtId="0" fontId="1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1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1" fillId="0" borderId="8" xfId="0" applyFont="1" applyBorder="1"/>
    <xf numFmtId="0" fontId="0" fillId="0" borderId="0" xfId="0" applyFont="1" applyAlignment="1"/>
    <xf numFmtId="0" fontId="2" fillId="0" borderId="9" xfId="0" applyFont="1" applyBorder="1"/>
    <xf numFmtId="0" fontId="1" fillId="0" borderId="1" xfId="0" applyFont="1" applyBorder="1" applyAlignment="1"/>
    <xf numFmtId="49" fontId="1" fillId="0" borderId="1" xfId="0" applyNumberFormat="1" applyFont="1" applyBorder="1" applyAlignment="1"/>
    <xf numFmtId="0" fontId="4" fillId="0" borderId="1" xfId="0" applyFont="1" applyBorder="1" applyAlignment="1">
      <alignment horizontal="center" wrapText="1"/>
    </xf>
    <xf numFmtId="0" fontId="4" fillId="0" borderId="11" xfId="0" applyFont="1" applyBorder="1" applyAlignment="1">
      <alignment horizontal="center" vertical="center" wrapText="1"/>
    </xf>
    <xf numFmtId="0" fontId="2" fillId="0" borderId="16" xfId="0" applyFont="1" applyBorder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2" fillId="0" borderId="13" xfId="0" applyFont="1" applyBorder="1"/>
    <xf numFmtId="0" fontId="4" fillId="2" borderId="14" xfId="0" applyFont="1" applyFill="1" applyBorder="1" applyAlignment="1">
      <alignment horizontal="center" vertical="center" wrapText="1"/>
    </xf>
    <xf numFmtId="49" fontId="6" fillId="6" borderId="1" xfId="0" applyNumberFormat="1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wrapText="1"/>
    </xf>
    <xf numFmtId="49" fontId="3" fillId="8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/>
    <xf numFmtId="0" fontId="3" fillId="0" borderId="0" xfId="0" applyFont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" fontId="8" fillId="0" borderId="0" xfId="0" applyNumberFormat="1" applyFont="1" applyFill="1" applyAlignment="1">
      <alignment horizontal="right"/>
    </xf>
    <xf numFmtId="4" fontId="8" fillId="0" borderId="0" xfId="0" applyNumberFormat="1" applyFont="1" applyFill="1" applyAlignment="1">
      <alignment horizontal="right"/>
    </xf>
    <xf numFmtId="4" fontId="10" fillId="0" borderId="0" xfId="0" applyNumberFormat="1" applyFont="1" applyFill="1" applyAlignment="1"/>
    <xf numFmtId="1" fontId="10" fillId="0" borderId="0" xfId="0" applyNumberFormat="1" applyFont="1" applyFill="1" applyAlignment="1"/>
    <xf numFmtId="0" fontId="10" fillId="0" borderId="0" xfId="0" applyFont="1" applyFill="1" applyAlignment="1"/>
    <xf numFmtId="4" fontId="11" fillId="0" borderId="0" xfId="0" applyNumberFormat="1" applyFont="1" applyFill="1" applyAlignment="1">
      <alignment horizontal="center"/>
    </xf>
    <xf numFmtId="4" fontId="9" fillId="0" borderId="0" xfId="0" applyNumberFormat="1" applyFont="1" applyFill="1" applyAlignment="1">
      <alignment horizontal="center"/>
    </xf>
    <xf numFmtId="0" fontId="0" fillId="0" borderId="0" xfId="0" applyFont="1" applyFill="1" applyAlignment="1"/>
    <xf numFmtId="1" fontId="11" fillId="0" borderId="0" xfId="0" applyNumberFormat="1" applyFont="1" applyFill="1" applyAlignment="1">
      <alignment horizontal="right"/>
    </xf>
    <xf numFmtId="4" fontId="11" fillId="0" borderId="0" xfId="0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right"/>
    </xf>
    <xf numFmtId="4" fontId="12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0" fillId="0" borderId="0" xfId="0" applyFont="1" applyFill="1" applyAlignment="1"/>
    <xf numFmtId="164" fontId="11" fillId="0" borderId="0" xfId="0" applyNumberFormat="1" applyFont="1" applyFill="1" applyAlignment="1">
      <alignment horizontal="center"/>
    </xf>
    <xf numFmtId="0" fontId="3" fillId="0" borderId="0" xfId="0" applyFont="1" applyFill="1"/>
    <xf numFmtId="4" fontId="3" fillId="0" borderId="0" xfId="0" applyNumberFormat="1" applyFont="1" applyFill="1"/>
    <xf numFmtId="164" fontId="10" fillId="0" borderId="0" xfId="0" applyNumberFormat="1" applyFont="1" applyFill="1" applyAlignment="1"/>
    <xf numFmtId="4" fontId="3" fillId="0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AA995"/>
  <sheetViews>
    <sheetView tabSelected="1" workbookViewId="0">
      <selection activeCell="V79" sqref="V79"/>
    </sheetView>
  </sheetViews>
  <sheetFormatPr defaultColWidth="12.5703125" defaultRowHeight="15" customHeight="1"/>
  <cols>
    <col min="8" max="8" width="13" customWidth="1"/>
    <col min="23" max="25" width="13.42578125" customWidth="1"/>
  </cols>
  <sheetData>
    <row r="1" spans="1:27" ht="15.75" customHeight="1">
      <c r="A1" s="64" t="s">
        <v>0</v>
      </c>
      <c r="B1" s="65"/>
      <c r="C1" s="65"/>
      <c r="D1" s="65"/>
      <c r="E1" s="65"/>
      <c r="F1" s="66"/>
      <c r="G1" s="1"/>
      <c r="H1" s="1"/>
      <c r="I1" s="1"/>
      <c r="J1" s="2"/>
      <c r="K1" s="1"/>
      <c r="L1" s="1"/>
      <c r="M1" s="1"/>
      <c r="N1" s="1"/>
      <c r="O1" s="1"/>
      <c r="P1" s="1"/>
      <c r="Q1" s="1"/>
      <c r="R1" s="1"/>
      <c r="S1" s="1"/>
      <c r="T1" s="1"/>
      <c r="U1" s="3"/>
      <c r="V1" s="1"/>
      <c r="W1" s="1"/>
      <c r="X1" s="1"/>
      <c r="Y1" s="1"/>
      <c r="Z1" s="1"/>
      <c r="AA1" s="1"/>
    </row>
    <row r="2" spans="1:27" ht="15.75" customHeight="1">
      <c r="A2" s="67" t="s">
        <v>1</v>
      </c>
      <c r="B2" s="68"/>
      <c r="C2" s="68"/>
      <c r="D2" s="68"/>
      <c r="E2" s="68"/>
      <c r="F2" s="69"/>
      <c r="G2" s="1"/>
      <c r="H2" s="1"/>
      <c r="I2" s="1"/>
      <c r="J2" s="2"/>
      <c r="K2" s="1"/>
      <c r="L2" s="1"/>
      <c r="M2" s="1"/>
      <c r="N2" s="1"/>
      <c r="O2" s="1"/>
      <c r="P2" s="1"/>
      <c r="Q2" s="1"/>
      <c r="R2" s="1"/>
      <c r="S2" s="1"/>
      <c r="T2" s="1"/>
      <c r="U2" s="3"/>
      <c r="V2" s="1"/>
      <c r="W2" s="1"/>
      <c r="X2" s="1"/>
      <c r="Y2" s="1"/>
      <c r="Z2" s="1"/>
      <c r="AA2" s="1"/>
    </row>
    <row r="3" spans="1:27" ht="15.75" customHeight="1">
      <c r="A3" s="67" t="s">
        <v>2</v>
      </c>
      <c r="B3" s="68"/>
      <c r="C3" s="68"/>
      <c r="D3" s="68"/>
      <c r="E3" s="68"/>
      <c r="F3" s="69"/>
      <c r="G3" s="1"/>
      <c r="H3" s="1"/>
      <c r="I3" s="1"/>
      <c r="J3" s="2"/>
      <c r="K3" s="1"/>
      <c r="L3" s="1"/>
      <c r="M3" s="1"/>
      <c r="N3" s="1"/>
      <c r="O3" s="1"/>
      <c r="P3" s="1"/>
      <c r="Q3" s="1"/>
      <c r="R3" s="1"/>
      <c r="S3" s="1"/>
      <c r="T3" s="1"/>
      <c r="U3" s="3"/>
      <c r="V3" s="1"/>
      <c r="W3" s="1"/>
      <c r="X3" s="1"/>
      <c r="Y3" s="1"/>
      <c r="Z3" s="1"/>
      <c r="AA3" s="1"/>
    </row>
    <row r="4" spans="1:27" ht="15.75" customHeight="1">
      <c r="A4" s="64" t="s">
        <v>3</v>
      </c>
      <c r="B4" s="65"/>
      <c r="C4" s="65"/>
      <c r="D4" s="65"/>
      <c r="E4" s="65"/>
      <c r="F4" s="66"/>
      <c r="G4" s="1"/>
      <c r="H4" s="1"/>
      <c r="I4" s="1"/>
      <c r="J4" s="2"/>
      <c r="K4" s="1"/>
      <c r="L4" s="1"/>
      <c r="M4" s="1"/>
      <c r="N4" s="1"/>
      <c r="O4" s="1"/>
      <c r="P4" s="1"/>
      <c r="Q4" s="1"/>
      <c r="R4" s="1"/>
      <c r="S4" s="1"/>
      <c r="T4" s="1"/>
      <c r="U4" s="3"/>
      <c r="V4" s="1"/>
      <c r="W4" s="1"/>
      <c r="X4" s="1"/>
      <c r="Y4" s="1"/>
      <c r="Z4" s="1"/>
      <c r="AA4" s="1"/>
    </row>
    <row r="5" spans="1:27" ht="15.75" customHeight="1">
      <c r="A5" s="70" t="s">
        <v>4</v>
      </c>
      <c r="B5" s="71"/>
      <c r="C5" s="71"/>
      <c r="D5" s="71"/>
      <c r="E5" s="71"/>
      <c r="F5" s="72"/>
      <c r="G5" s="1"/>
      <c r="H5" s="1"/>
      <c r="I5" s="1"/>
      <c r="J5" s="2"/>
      <c r="K5" s="1"/>
      <c r="L5" s="1"/>
      <c r="M5" s="1"/>
      <c r="N5" s="1"/>
      <c r="O5" s="1"/>
      <c r="P5" s="1"/>
      <c r="Q5" s="1"/>
      <c r="R5" s="1"/>
      <c r="S5" s="1"/>
      <c r="T5" s="1"/>
      <c r="U5" s="3"/>
      <c r="V5" s="1"/>
      <c r="W5" s="1"/>
      <c r="X5" s="1"/>
      <c r="Y5" s="1"/>
      <c r="Z5" s="1"/>
      <c r="AA5" s="1"/>
    </row>
    <row r="6" spans="1:27" ht="15.75" customHeight="1">
      <c r="A6" s="73" t="s">
        <v>5</v>
      </c>
      <c r="B6" s="65"/>
      <c r="C6" s="65"/>
      <c r="D6" s="65"/>
      <c r="E6" s="65"/>
      <c r="F6" s="66"/>
      <c r="G6" s="1"/>
      <c r="H6" s="1"/>
      <c r="I6" s="1"/>
      <c r="J6" s="2"/>
      <c r="K6" s="1"/>
      <c r="L6" s="1"/>
      <c r="M6" s="1"/>
      <c r="N6" s="1"/>
      <c r="O6" s="1"/>
      <c r="P6" s="1"/>
      <c r="Q6" s="1"/>
      <c r="R6" s="1"/>
      <c r="S6" s="1"/>
      <c r="T6" s="1"/>
      <c r="U6" s="3"/>
      <c r="V6" s="1"/>
      <c r="W6" s="1"/>
      <c r="X6" s="1"/>
      <c r="Y6" s="1"/>
      <c r="Z6" s="1"/>
      <c r="AA6" s="1"/>
    </row>
    <row r="7" spans="1:27" ht="15.75" customHeight="1">
      <c r="A7" s="74" t="s">
        <v>6</v>
      </c>
      <c r="B7" s="65"/>
      <c r="C7" s="65"/>
      <c r="D7" s="65"/>
      <c r="E7" s="65"/>
      <c r="F7" s="66"/>
      <c r="G7" s="1"/>
      <c r="H7" s="1"/>
      <c r="I7" s="1"/>
      <c r="J7" s="2"/>
      <c r="K7" s="1"/>
      <c r="L7" s="1"/>
      <c r="M7" s="1"/>
      <c r="N7" s="1"/>
      <c r="O7" s="1"/>
      <c r="P7" s="1"/>
      <c r="Q7" s="1"/>
      <c r="R7" s="1"/>
      <c r="S7" s="1"/>
      <c r="T7" s="1"/>
      <c r="U7" s="3"/>
      <c r="V7" s="1"/>
      <c r="W7" s="1"/>
      <c r="X7" s="1"/>
      <c r="Y7" s="1"/>
      <c r="Z7" s="1"/>
      <c r="AA7" s="1"/>
    </row>
    <row r="8" spans="1:27" ht="15.75" customHeight="1">
      <c r="A8" s="78"/>
      <c r="B8" s="71"/>
      <c r="C8" s="71"/>
      <c r="D8" s="71"/>
      <c r="E8" s="71"/>
      <c r="F8" s="71"/>
      <c r="G8" s="1"/>
      <c r="H8" s="1"/>
      <c r="I8" s="1"/>
      <c r="J8" s="2"/>
      <c r="K8" s="1"/>
      <c r="L8" s="1"/>
      <c r="M8" s="1"/>
      <c r="N8" s="1"/>
      <c r="O8" s="1"/>
      <c r="P8" s="1"/>
      <c r="Q8" s="1"/>
      <c r="R8" s="1"/>
      <c r="S8" s="1"/>
      <c r="T8" s="1"/>
      <c r="U8" s="3"/>
      <c r="V8" s="1"/>
      <c r="W8" s="1"/>
      <c r="X8" s="1"/>
      <c r="Y8" s="1"/>
      <c r="Z8" s="1"/>
      <c r="AA8" s="1"/>
    </row>
    <row r="9" spans="1:27" ht="15.75" customHeight="1">
      <c r="A9" s="79" t="s">
        <v>7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1"/>
      <c r="Z9" s="1"/>
      <c r="AA9" s="1"/>
    </row>
    <row r="10" spans="1:27" ht="15.75" customHeight="1">
      <c r="A10" s="1"/>
      <c r="B10" s="1"/>
      <c r="C10" s="1"/>
      <c r="D10" s="1"/>
      <c r="E10" s="1"/>
      <c r="F10" s="1"/>
      <c r="G10" s="1"/>
      <c r="H10" s="1"/>
      <c r="I10" s="1"/>
      <c r="J10" s="4"/>
      <c r="K10" s="1"/>
      <c r="L10" s="1"/>
      <c r="M10" s="1"/>
      <c r="N10" s="1"/>
      <c r="O10" s="1"/>
      <c r="P10" s="1"/>
      <c r="Q10" s="1"/>
      <c r="R10" s="1"/>
      <c r="S10" s="1"/>
      <c r="T10" s="1"/>
      <c r="U10" s="3"/>
      <c r="V10" s="1"/>
      <c r="W10" s="5"/>
      <c r="X10" s="1"/>
      <c r="Y10" s="1"/>
      <c r="Z10" s="1"/>
      <c r="AA10" s="1"/>
    </row>
    <row r="11" spans="1:27" ht="15.75" customHeight="1">
      <c r="A11" s="75" t="s">
        <v>8</v>
      </c>
      <c r="B11" s="65"/>
      <c r="C11" s="65"/>
      <c r="D11" s="65"/>
      <c r="E11" s="65"/>
      <c r="F11" s="65"/>
      <c r="G11" s="65"/>
      <c r="H11" s="65"/>
      <c r="I11" s="65"/>
      <c r="J11" s="66"/>
      <c r="K11" s="80" t="s">
        <v>9</v>
      </c>
      <c r="L11" s="75" t="s">
        <v>10</v>
      </c>
      <c r="M11" s="66"/>
      <c r="N11" s="76" t="s">
        <v>11</v>
      </c>
      <c r="O11" s="76" t="s">
        <v>12</v>
      </c>
      <c r="P11" s="75" t="s">
        <v>13</v>
      </c>
      <c r="Q11" s="66"/>
      <c r="R11" s="76" t="s">
        <v>14</v>
      </c>
      <c r="S11" s="75" t="s">
        <v>15</v>
      </c>
      <c r="T11" s="65"/>
      <c r="U11" s="65"/>
      <c r="V11" s="65"/>
      <c r="W11" s="65"/>
      <c r="X11" s="66"/>
      <c r="Y11" s="1"/>
      <c r="Z11" s="1"/>
      <c r="AA11" s="1"/>
    </row>
    <row r="12" spans="1:27" ht="15.75" customHeight="1">
      <c r="A12" s="88" t="s">
        <v>16</v>
      </c>
      <c r="B12" s="81"/>
      <c r="C12" s="89" t="s">
        <v>17</v>
      </c>
      <c r="D12" s="89" t="s">
        <v>18</v>
      </c>
      <c r="E12" s="88" t="s">
        <v>19</v>
      </c>
      <c r="F12" s="81"/>
      <c r="G12" s="89" t="s">
        <v>20</v>
      </c>
      <c r="H12" s="88" t="s">
        <v>21</v>
      </c>
      <c r="I12" s="81"/>
      <c r="J12" s="82" t="s">
        <v>22</v>
      </c>
      <c r="K12" s="81"/>
      <c r="L12" s="6" t="s">
        <v>23</v>
      </c>
      <c r="M12" s="6" t="s">
        <v>24</v>
      </c>
      <c r="N12" s="77"/>
      <c r="O12" s="77"/>
      <c r="P12" s="6" t="s">
        <v>25</v>
      </c>
      <c r="Q12" s="6" t="s">
        <v>26</v>
      </c>
      <c r="R12" s="77"/>
      <c r="S12" s="6" t="s">
        <v>27</v>
      </c>
      <c r="T12" s="7" t="s">
        <v>28</v>
      </c>
      <c r="U12" s="6" t="s">
        <v>29</v>
      </c>
      <c r="V12" s="7" t="s">
        <v>28</v>
      </c>
      <c r="W12" s="8" t="s">
        <v>30</v>
      </c>
      <c r="X12" s="7" t="s">
        <v>28</v>
      </c>
      <c r="Y12" s="1"/>
      <c r="Z12" s="1"/>
      <c r="AA12" s="1"/>
    </row>
    <row r="13" spans="1:27" ht="28.5" customHeight="1">
      <c r="A13" s="9" t="s">
        <v>31</v>
      </c>
      <c r="B13" s="9" t="s">
        <v>19</v>
      </c>
      <c r="C13" s="77"/>
      <c r="D13" s="77"/>
      <c r="E13" s="9" t="s">
        <v>32</v>
      </c>
      <c r="F13" s="9" t="s">
        <v>33</v>
      </c>
      <c r="G13" s="77"/>
      <c r="H13" s="9" t="s">
        <v>31</v>
      </c>
      <c r="I13" s="9" t="s">
        <v>19</v>
      </c>
      <c r="J13" s="77"/>
      <c r="K13" s="9" t="s">
        <v>34</v>
      </c>
      <c r="L13" s="9" t="s">
        <v>35</v>
      </c>
      <c r="M13" s="9" t="s">
        <v>36</v>
      </c>
      <c r="N13" s="9" t="s">
        <v>37</v>
      </c>
      <c r="O13" s="9" t="s">
        <v>38</v>
      </c>
      <c r="P13" s="9" t="s">
        <v>39</v>
      </c>
      <c r="Q13" s="9" t="s">
        <v>40</v>
      </c>
      <c r="R13" s="9" t="s">
        <v>41</v>
      </c>
      <c r="S13" s="9" t="s">
        <v>42</v>
      </c>
      <c r="T13" s="10" t="s">
        <v>43</v>
      </c>
      <c r="U13" s="9" t="s">
        <v>44</v>
      </c>
      <c r="V13" s="10" t="s">
        <v>45</v>
      </c>
      <c r="W13" s="11" t="s">
        <v>46</v>
      </c>
      <c r="X13" s="10" t="s">
        <v>47</v>
      </c>
      <c r="Y13" s="1"/>
      <c r="Z13" s="1"/>
      <c r="AA13" s="1"/>
    </row>
    <row r="14" spans="1:27" ht="36">
      <c r="A14" s="12" t="s">
        <v>48</v>
      </c>
      <c r="B14" s="13" t="s">
        <v>49</v>
      </c>
      <c r="C14" s="13" t="s">
        <v>50</v>
      </c>
      <c r="D14" s="13" t="s">
        <v>51</v>
      </c>
      <c r="E14" s="13" t="s">
        <v>52</v>
      </c>
      <c r="F14" s="13" t="s">
        <v>53</v>
      </c>
      <c r="G14" s="13" t="s">
        <v>54</v>
      </c>
      <c r="H14" s="13" t="s">
        <v>55</v>
      </c>
      <c r="I14" s="13" t="s">
        <v>56</v>
      </c>
      <c r="J14" s="14">
        <v>3</v>
      </c>
      <c r="K14" s="15">
        <v>100000</v>
      </c>
      <c r="L14" s="16">
        <v>0</v>
      </c>
      <c r="M14" s="16">
        <v>0</v>
      </c>
      <c r="N14" s="17">
        <f t="shared" ref="N14:N27" si="0">K14+L14-M14</f>
        <v>100000</v>
      </c>
      <c r="O14" s="18"/>
      <c r="P14" s="18"/>
      <c r="Q14" s="18"/>
      <c r="R14" s="17">
        <f t="shared" ref="R14:R27" si="1">N14-O14+P14+Q14</f>
        <v>100000</v>
      </c>
      <c r="S14" s="16">
        <v>0</v>
      </c>
      <c r="T14" s="19">
        <f t="shared" ref="T14:T28" si="2">IF(R14&gt;0,S14/R14,0)</f>
        <v>0</v>
      </c>
      <c r="U14" s="20">
        <v>0</v>
      </c>
      <c r="V14" s="19">
        <f t="shared" ref="V14:V28" si="3">IF(R14&gt;0,U14/R14,0)</f>
        <v>0</v>
      </c>
      <c r="W14" s="16">
        <v>0</v>
      </c>
      <c r="X14" s="19">
        <f t="shared" ref="X14:X28" si="4">IF(R14&gt;0,W14/R14,0)</f>
        <v>0</v>
      </c>
      <c r="Y14" s="1"/>
      <c r="Z14" s="1"/>
      <c r="AA14" s="1"/>
    </row>
    <row r="15" spans="1:27" ht="36">
      <c r="A15" s="12" t="s">
        <v>48</v>
      </c>
      <c r="B15" s="13" t="s">
        <v>49</v>
      </c>
      <c r="C15" s="13" t="s">
        <v>50</v>
      </c>
      <c r="D15" s="13" t="s">
        <v>57</v>
      </c>
      <c r="E15" s="13" t="s">
        <v>52</v>
      </c>
      <c r="F15" s="13" t="s">
        <v>58</v>
      </c>
      <c r="G15" s="13" t="s">
        <v>54</v>
      </c>
      <c r="H15" s="13" t="s">
        <v>55</v>
      </c>
      <c r="I15" s="13" t="s">
        <v>56</v>
      </c>
      <c r="J15" s="14">
        <v>3</v>
      </c>
      <c r="K15" s="15">
        <v>92715102</v>
      </c>
      <c r="L15" s="16">
        <v>2568058</v>
      </c>
      <c r="M15" s="16">
        <v>0</v>
      </c>
      <c r="N15" s="17">
        <f t="shared" si="0"/>
        <v>95283160</v>
      </c>
      <c r="O15" s="21"/>
      <c r="P15" s="18"/>
      <c r="Q15" s="18"/>
      <c r="R15" s="17">
        <f t="shared" si="1"/>
        <v>95283160</v>
      </c>
      <c r="S15" s="16">
        <v>7969585.8799999999</v>
      </c>
      <c r="T15" s="19">
        <f t="shared" si="2"/>
        <v>8.3641074456388728E-2</v>
      </c>
      <c r="U15" s="20">
        <v>7963641.1900000004</v>
      </c>
      <c r="V15" s="19">
        <f t="shared" si="3"/>
        <v>8.357868473295807E-2</v>
      </c>
      <c r="W15" s="16">
        <v>7926150.7000000002</v>
      </c>
      <c r="X15" s="19">
        <f t="shared" si="4"/>
        <v>8.3185220767237361E-2</v>
      </c>
      <c r="Y15" s="22"/>
      <c r="Z15" s="1"/>
      <c r="AA15" s="1"/>
    </row>
    <row r="16" spans="1:27" ht="36">
      <c r="A16" s="12" t="s">
        <v>48</v>
      </c>
      <c r="B16" s="13" t="s">
        <v>49</v>
      </c>
      <c r="C16" s="13" t="s">
        <v>50</v>
      </c>
      <c r="D16" s="13" t="s">
        <v>57</v>
      </c>
      <c r="E16" s="13" t="s">
        <v>52</v>
      </c>
      <c r="F16" s="13" t="s">
        <v>58</v>
      </c>
      <c r="G16" s="13" t="s">
        <v>54</v>
      </c>
      <c r="H16" s="13" t="s">
        <v>59</v>
      </c>
      <c r="I16" s="13" t="s">
        <v>56</v>
      </c>
      <c r="J16" s="14">
        <v>3</v>
      </c>
      <c r="K16" s="15">
        <v>2000000</v>
      </c>
      <c r="L16" s="16">
        <v>0</v>
      </c>
      <c r="M16" s="16">
        <v>0</v>
      </c>
      <c r="N16" s="17">
        <f t="shared" si="0"/>
        <v>2000000</v>
      </c>
      <c r="O16" s="21"/>
      <c r="P16" s="18"/>
      <c r="Q16" s="18"/>
      <c r="R16" s="17">
        <f t="shared" si="1"/>
        <v>2000000</v>
      </c>
      <c r="S16" s="16">
        <v>0</v>
      </c>
      <c r="T16" s="19">
        <f t="shared" si="2"/>
        <v>0</v>
      </c>
      <c r="U16" s="20">
        <v>0</v>
      </c>
      <c r="V16" s="19">
        <f t="shared" si="3"/>
        <v>0</v>
      </c>
      <c r="W16" s="16">
        <v>0</v>
      </c>
      <c r="X16" s="19">
        <f t="shared" si="4"/>
        <v>0</v>
      </c>
      <c r="Y16" s="22"/>
      <c r="Z16" s="1"/>
      <c r="AA16" s="1"/>
    </row>
    <row r="17" spans="1:27" ht="36">
      <c r="A17" s="12" t="s">
        <v>48</v>
      </c>
      <c r="B17" s="13" t="s">
        <v>49</v>
      </c>
      <c r="C17" s="13" t="s">
        <v>50</v>
      </c>
      <c r="D17" s="13" t="s">
        <v>60</v>
      </c>
      <c r="E17" s="13" t="s">
        <v>52</v>
      </c>
      <c r="F17" s="13" t="s">
        <v>61</v>
      </c>
      <c r="G17" s="13" t="s">
        <v>54</v>
      </c>
      <c r="H17" s="13" t="s">
        <v>55</v>
      </c>
      <c r="I17" s="13" t="s">
        <v>56</v>
      </c>
      <c r="J17" s="23">
        <v>1</v>
      </c>
      <c r="K17" s="15">
        <v>575578426</v>
      </c>
      <c r="L17" s="16">
        <v>37681160</v>
      </c>
      <c r="M17" s="16">
        <v>10249218</v>
      </c>
      <c r="N17" s="17">
        <f t="shared" si="0"/>
        <v>603010368</v>
      </c>
      <c r="O17" s="18"/>
      <c r="P17" s="18"/>
      <c r="Q17" s="18"/>
      <c r="R17" s="17">
        <f t="shared" si="1"/>
        <v>603010368</v>
      </c>
      <c r="S17" s="16">
        <v>146913475.53</v>
      </c>
      <c r="T17" s="19">
        <f t="shared" si="2"/>
        <v>0.24363341548714465</v>
      </c>
      <c r="U17" s="24">
        <v>127774397.02</v>
      </c>
      <c r="V17" s="19">
        <f t="shared" si="3"/>
        <v>0.21189419585568386</v>
      </c>
      <c r="W17" s="16">
        <v>84819796.049999997</v>
      </c>
      <c r="X17" s="19">
        <f t="shared" si="4"/>
        <v>0.14066059316910451</v>
      </c>
      <c r="Y17" s="1"/>
      <c r="Z17" s="1"/>
      <c r="AA17" s="1"/>
    </row>
    <row r="18" spans="1:27" ht="45">
      <c r="A18" s="12" t="s">
        <v>48</v>
      </c>
      <c r="B18" s="13" t="s">
        <v>49</v>
      </c>
      <c r="C18" s="13" t="s">
        <v>50</v>
      </c>
      <c r="D18" s="13" t="s">
        <v>62</v>
      </c>
      <c r="E18" s="13" t="s">
        <v>52</v>
      </c>
      <c r="F18" s="13" t="s">
        <v>63</v>
      </c>
      <c r="G18" s="13" t="s">
        <v>54</v>
      </c>
      <c r="H18" s="13" t="s">
        <v>55</v>
      </c>
      <c r="I18" s="13" t="s">
        <v>56</v>
      </c>
      <c r="J18" s="23">
        <v>1</v>
      </c>
      <c r="K18" s="15">
        <v>180375566</v>
      </c>
      <c r="L18" s="16">
        <v>51000</v>
      </c>
      <c r="M18" s="16">
        <v>51000</v>
      </c>
      <c r="N18" s="17">
        <f t="shared" si="0"/>
        <v>180375566</v>
      </c>
      <c r="O18" s="18"/>
      <c r="P18" s="18"/>
      <c r="Q18" s="18"/>
      <c r="R18" s="17">
        <f t="shared" si="1"/>
        <v>180375566</v>
      </c>
      <c r="S18" s="16">
        <v>45488784.359999999</v>
      </c>
      <c r="T18" s="19">
        <f t="shared" si="2"/>
        <v>0.25218928133536667</v>
      </c>
      <c r="U18" s="24">
        <v>42328131.020000003</v>
      </c>
      <c r="V18" s="19">
        <f t="shared" si="3"/>
        <v>0.23466665668009604</v>
      </c>
      <c r="W18" s="16">
        <v>27752890</v>
      </c>
      <c r="X18" s="19">
        <f t="shared" si="4"/>
        <v>0.15386169321847062</v>
      </c>
      <c r="Y18" s="1"/>
      <c r="Z18" s="1"/>
      <c r="AA18" s="1"/>
    </row>
    <row r="19" spans="1:27" ht="36">
      <c r="A19" s="12" t="s">
        <v>48</v>
      </c>
      <c r="B19" s="13" t="s">
        <v>49</v>
      </c>
      <c r="C19" s="13" t="s">
        <v>50</v>
      </c>
      <c r="D19" s="13" t="s">
        <v>64</v>
      </c>
      <c r="E19" s="13" t="s">
        <v>52</v>
      </c>
      <c r="F19" s="13" t="s">
        <v>65</v>
      </c>
      <c r="G19" s="13" t="s">
        <v>54</v>
      </c>
      <c r="H19" s="13" t="s">
        <v>55</v>
      </c>
      <c r="I19" s="13" t="s">
        <v>56</v>
      </c>
      <c r="J19" s="14">
        <v>3</v>
      </c>
      <c r="K19" s="15">
        <v>30124000</v>
      </c>
      <c r="L19" s="16">
        <v>0</v>
      </c>
      <c r="M19" s="16">
        <v>1093136.03</v>
      </c>
      <c r="N19" s="17">
        <f t="shared" si="0"/>
        <v>29030863.969999999</v>
      </c>
      <c r="O19" s="18"/>
      <c r="P19" s="18"/>
      <c r="Q19" s="18"/>
      <c r="R19" s="17">
        <f t="shared" si="1"/>
        <v>29030863.969999999</v>
      </c>
      <c r="S19" s="16">
        <v>2496814.5099999998</v>
      </c>
      <c r="T19" s="19">
        <f t="shared" si="2"/>
        <v>8.6005518560528044E-2</v>
      </c>
      <c r="U19" s="20">
        <v>2496693.44</v>
      </c>
      <c r="V19" s="19">
        <f t="shared" si="3"/>
        <v>8.6001348171382039E-2</v>
      </c>
      <c r="W19" s="16">
        <v>2496693.44</v>
      </c>
      <c r="X19" s="19">
        <f t="shared" si="4"/>
        <v>8.6001348171382039E-2</v>
      </c>
      <c r="Y19" s="1"/>
      <c r="Z19" s="1"/>
      <c r="AA19" s="1"/>
    </row>
    <row r="20" spans="1:27" ht="45">
      <c r="A20" s="12" t="s">
        <v>48</v>
      </c>
      <c r="B20" s="13" t="s">
        <v>49</v>
      </c>
      <c r="C20" s="13" t="s">
        <v>50</v>
      </c>
      <c r="D20" s="13" t="s">
        <v>66</v>
      </c>
      <c r="E20" s="13" t="s">
        <v>67</v>
      </c>
      <c r="F20" s="13" t="s">
        <v>68</v>
      </c>
      <c r="G20" s="13" t="s">
        <v>54</v>
      </c>
      <c r="H20" s="13" t="s">
        <v>55</v>
      </c>
      <c r="I20" s="13" t="s">
        <v>56</v>
      </c>
      <c r="J20" s="14">
        <v>3</v>
      </c>
      <c r="K20" s="15">
        <v>28933000</v>
      </c>
      <c r="L20" s="16">
        <v>0</v>
      </c>
      <c r="M20" s="16">
        <v>0</v>
      </c>
      <c r="N20" s="17">
        <f t="shared" si="0"/>
        <v>28933000</v>
      </c>
      <c r="O20" s="18"/>
      <c r="P20" s="18"/>
      <c r="Q20" s="18"/>
      <c r="R20" s="17">
        <f t="shared" si="1"/>
        <v>28933000</v>
      </c>
      <c r="S20" s="16">
        <v>2399222.1</v>
      </c>
      <c r="T20" s="19">
        <f t="shared" si="2"/>
        <v>8.2923378149517848E-2</v>
      </c>
      <c r="U20" s="20">
        <v>2398249.89</v>
      </c>
      <c r="V20" s="19">
        <f t="shared" si="3"/>
        <v>8.2889776034286114E-2</v>
      </c>
      <c r="W20" s="16">
        <v>2398249.89</v>
      </c>
      <c r="X20" s="19">
        <f t="shared" si="4"/>
        <v>8.2889776034286114E-2</v>
      </c>
      <c r="Y20" s="1"/>
      <c r="Z20" s="1"/>
      <c r="AA20" s="1"/>
    </row>
    <row r="21" spans="1:27" ht="45">
      <c r="A21" s="12" t="s">
        <v>48</v>
      </c>
      <c r="B21" s="13" t="s">
        <v>49</v>
      </c>
      <c r="C21" s="13" t="s">
        <v>50</v>
      </c>
      <c r="D21" s="13" t="s">
        <v>69</v>
      </c>
      <c r="E21" s="13" t="s">
        <v>67</v>
      </c>
      <c r="F21" s="13" t="s">
        <v>70</v>
      </c>
      <c r="G21" s="13" t="s">
        <v>54</v>
      </c>
      <c r="H21" s="13" t="s">
        <v>55</v>
      </c>
      <c r="I21" s="13" t="s">
        <v>56</v>
      </c>
      <c r="J21" s="14">
        <v>3</v>
      </c>
      <c r="K21" s="15">
        <v>50000</v>
      </c>
      <c r="L21" s="16">
        <v>0</v>
      </c>
      <c r="M21" s="16">
        <v>0</v>
      </c>
      <c r="N21" s="17">
        <f t="shared" si="0"/>
        <v>50000</v>
      </c>
      <c r="O21" s="18"/>
      <c r="P21" s="18"/>
      <c r="Q21" s="18"/>
      <c r="R21" s="17">
        <f t="shared" si="1"/>
        <v>50000</v>
      </c>
      <c r="S21" s="16">
        <v>0</v>
      </c>
      <c r="T21" s="19">
        <f t="shared" si="2"/>
        <v>0</v>
      </c>
      <c r="U21" s="20">
        <v>0</v>
      </c>
      <c r="V21" s="19">
        <f t="shared" si="3"/>
        <v>0</v>
      </c>
      <c r="W21" s="16">
        <v>0</v>
      </c>
      <c r="X21" s="19">
        <f t="shared" si="4"/>
        <v>0</v>
      </c>
      <c r="Y21" s="1"/>
      <c r="Z21" s="1"/>
      <c r="AA21" s="1"/>
    </row>
    <row r="22" spans="1:27" ht="45">
      <c r="A22" s="12" t="s">
        <v>48</v>
      </c>
      <c r="B22" s="13" t="s">
        <v>49</v>
      </c>
      <c r="C22" s="13" t="s">
        <v>50</v>
      </c>
      <c r="D22" s="13" t="s">
        <v>71</v>
      </c>
      <c r="E22" s="13" t="s">
        <v>67</v>
      </c>
      <c r="F22" s="13" t="s">
        <v>72</v>
      </c>
      <c r="G22" s="13" t="s">
        <v>54</v>
      </c>
      <c r="H22" s="13" t="s">
        <v>55</v>
      </c>
      <c r="I22" s="13" t="s">
        <v>56</v>
      </c>
      <c r="J22" s="23">
        <v>1</v>
      </c>
      <c r="K22" s="15">
        <v>166762665</v>
      </c>
      <c r="L22" s="16">
        <v>4248154.0199999996</v>
      </c>
      <c r="M22" s="16">
        <v>4248154.0199999996</v>
      </c>
      <c r="N22" s="17">
        <f t="shared" si="0"/>
        <v>166762665</v>
      </c>
      <c r="O22" s="18"/>
      <c r="P22" s="18"/>
      <c r="Q22" s="18"/>
      <c r="R22" s="17">
        <f t="shared" si="1"/>
        <v>166762665</v>
      </c>
      <c r="S22" s="16">
        <v>42076461.670000002</v>
      </c>
      <c r="T22" s="19">
        <f t="shared" si="2"/>
        <v>0.25231344000169342</v>
      </c>
      <c r="U22" s="24">
        <v>36789442.380000003</v>
      </c>
      <c r="V22" s="19">
        <f t="shared" si="3"/>
        <v>0.22060958536492567</v>
      </c>
      <c r="W22" s="16">
        <v>23706359.600000001</v>
      </c>
      <c r="X22" s="19">
        <f t="shared" si="4"/>
        <v>0.14215627700600733</v>
      </c>
      <c r="Y22" s="1"/>
      <c r="Z22" s="1"/>
      <c r="AA22" s="1"/>
    </row>
    <row r="23" spans="1:27" ht="36">
      <c r="A23" s="12" t="s">
        <v>48</v>
      </c>
      <c r="B23" s="13" t="s">
        <v>49</v>
      </c>
      <c r="C23" s="13" t="s">
        <v>73</v>
      </c>
      <c r="D23" s="13" t="s">
        <v>74</v>
      </c>
      <c r="E23" s="13" t="s">
        <v>52</v>
      </c>
      <c r="F23" s="13" t="s">
        <v>75</v>
      </c>
      <c r="G23" s="13" t="s">
        <v>54</v>
      </c>
      <c r="H23" s="13" t="s">
        <v>55</v>
      </c>
      <c r="I23" s="13" t="s">
        <v>56</v>
      </c>
      <c r="J23" s="23">
        <v>1</v>
      </c>
      <c r="K23" s="25">
        <v>580890</v>
      </c>
      <c r="L23" s="16">
        <v>0</v>
      </c>
      <c r="M23" s="16">
        <v>0</v>
      </c>
      <c r="N23" s="26">
        <f t="shared" si="0"/>
        <v>580890</v>
      </c>
      <c r="O23" s="18"/>
      <c r="P23" s="18"/>
      <c r="Q23" s="18"/>
      <c r="R23" s="26">
        <f t="shared" si="1"/>
        <v>580890</v>
      </c>
      <c r="S23" s="15">
        <v>29745</v>
      </c>
      <c r="T23" s="27">
        <f t="shared" si="2"/>
        <v>5.1205908175386047E-2</v>
      </c>
      <c r="U23" s="24">
        <v>29745</v>
      </c>
      <c r="V23" s="27">
        <f t="shared" si="3"/>
        <v>5.1205908175386047E-2</v>
      </c>
      <c r="W23" s="16">
        <v>14085</v>
      </c>
      <c r="X23" s="27">
        <f t="shared" si="4"/>
        <v>2.4247275732066313E-2</v>
      </c>
      <c r="Y23" s="1"/>
      <c r="Z23" s="1"/>
      <c r="AA23" s="1"/>
    </row>
    <row r="24" spans="1:27" ht="36">
      <c r="A24" s="12" t="s">
        <v>48</v>
      </c>
      <c r="B24" s="13" t="s">
        <v>49</v>
      </c>
      <c r="C24" s="13" t="s">
        <v>73</v>
      </c>
      <c r="D24" s="13" t="s">
        <v>76</v>
      </c>
      <c r="E24" s="13" t="s">
        <v>52</v>
      </c>
      <c r="F24" s="13" t="s">
        <v>77</v>
      </c>
      <c r="G24" s="13" t="s">
        <v>54</v>
      </c>
      <c r="H24" s="13" t="s">
        <v>55</v>
      </c>
      <c r="I24" s="13" t="s">
        <v>56</v>
      </c>
      <c r="J24" s="23">
        <v>1</v>
      </c>
      <c r="K24" s="25">
        <v>258000</v>
      </c>
      <c r="L24" s="16">
        <v>0</v>
      </c>
      <c r="M24" s="16">
        <v>0</v>
      </c>
      <c r="N24" s="26">
        <f t="shared" si="0"/>
        <v>258000</v>
      </c>
      <c r="O24" s="18"/>
      <c r="P24" s="18"/>
      <c r="Q24" s="18"/>
      <c r="R24" s="26">
        <f t="shared" si="1"/>
        <v>258000</v>
      </c>
      <c r="S24" s="15">
        <v>88400</v>
      </c>
      <c r="T24" s="27">
        <f t="shared" si="2"/>
        <v>0.34263565891472869</v>
      </c>
      <c r="U24" s="24">
        <v>88400</v>
      </c>
      <c r="V24" s="27">
        <f t="shared" si="3"/>
        <v>0.34263565891472869</v>
      </c>
      <c r="W24" s="16">
        <v>35135</v>
      </c>
      <c r="X24" s="27">
        <f t="shared" si="4"/>
        <v>0.13618217054263565</v>
      </c>
      <c r="Y24" s="1"/>
      <c r="Z24" s="1"/>
      <c r="AA24" s="1"/>
    </row>
    <row r="25" spans="1:27" ht="36">
      <c r="A25" s="12" t="s">
        <v>48</v>
      </c>
      <c r="B25" s="13" t="s">
        <v>49</v>
      </c>
      <c r="C25" s="13" t="s">
        <v>78</v>
      </c>
      <c r="D25" s="13" t="s">
        <v>79</v>
      </c>
      <c r="E25" s="13" t="s">
        <v>80</v>
      </c>
      <c r="F25" s="13" t="s">
        <v>81</v>
      </c>
      <c r="G25" s="13" t="s">
        <v>82</v>
      </c>
      <c r="H25" s="13" t="s">
        <v>55</v>
      </c>
      <c r="I25" s="13" t="s">
        <v>56</v>
      </c>
      <c r="J25" s="23">
        <v>1</v>
      </c>
      <c r="K25" s="28">
        <f>187994351-K26</f>
        <v>175416453</v>
      </c>
      <c r="L25" s="29">
        <f>19349142-L26</f>
        <v>19349142</v>
      </c>
      <c r="M25" s="29">
        <f>19349142</f>
        <v>19349142</v>
      </c>
      <c r="N25" s="17">
        <f t="shared" si="0"/>
        <v>175416453</v>
      </c>
      <c r="O25" s="18"/>
      <c r="P25" s="18"/>
      <c r="Q25" s="17">
        <f>-6646385.24-12066852.2</f>
        <v>-18713237.439999998</v>
      </c>
      <c r="R25" s="17">
        <f t="shared" si="1"/>
        <v>156703215.56</v>
      </c>
      <c r="S25" s="29">
        <f>34787478.32-S26</f>
        <v>31301282.850000001</v>
      </c>
      <c r="T25" s="19">
        <f t="shared" si="2"/>
        <v>0.19974882288241924</v>
      </c>
      <c r="U25" s="30">
        <f>14248029.37-U26</f>
        <v>13049262.369999999</v>
      </c>
      <c r="V25" s="19">
        <f t="shared" si="3"/>
        <v>8.3273737066381859E-2</v>
      </c>
      <c r="W25" s="29">
        <f>10462372.53-W26</f>
        <v>9263605.5299999993</v>
      </c>
      <c r="X25" s="19">
        <f t="shared" si="4"/>
        <v>5.9115605872510399E-2</v>
      </c>
      <c r="Y25" s="1"/>
      <c r="Z25" s="1"/>
      <c r="AA25" s="1"/>
    </row>
    <row r="26" spans="1:27" ht="36">
      <c r="A26" s="12" t="s">
        <v>48</v>
      </c>
      <c r="B26" s="13" t="s">
        <v>49</v>
      </c>
      <c r="C26" s="13" t="s">
        <v>78</v>
      </c>
      <c r="D26" s="13" t="s">
        <v>79</v>
      </c>
      <c r="E26" s="13" t="s">
        <v>80</v>
      </c>
      <c r="F26" s="13" t="s">
        <v>81</v>
      </c>
      <c r="G26" s="13" t="s">
        <v>82</v>
      </c>
      <c r="H26" s="13" t="s">
        <v>55</v>
      </c>
      <c r="I26" s="13" t="s">
        <v>56</v>
      </c>
      <c r="J26" s="14">
        <v>3</v>
      </c>
      <c r="K26" s="28">
        <f>12577898</f>
        <v>12577898</v>
      </c>
      <c r="L26" s="16">
        <v>0</v>
      </c>
      <c r="M26" s="16">
        <v>0</v>
      </c>
      <c r="N26" s="17">
        <f t="shared" si="0"/>
        <v>12577898</v>
      </c>
      <c r="O26" s="18"/>
      <c r="P26" s="18"/>
      <c r="Q26" s="18"/>
      <c r="R26" s="17">
        <f t="shared" si="1"/>
        <v>12577898</v>
      </c>
      <c r="S26" s="29">
        <f>36864.65+3449330.82</f>
        <v>3486195.4699999997</v>
      </c>
      <c r="T26" s="19">
        <f t="shared" si="2"/>
        <v>0.27716836867336653</v>
      </c>
      <c r="U26" s="31">
        <f>36864.65+1161902.35</f>
        <v>1198767</v>
      </c>
      <c r="V26" s="19">
        <f t="shared" si="3"/>
        <v>9.530741941141517E-2</v>
      </c>
      <c r="W26" s="28">
        <f>36864.65+1161902.35</f>
        <v>1198767</v>
      </c>
      <c r="X26" s="19">
        <f t="shared" si="4"/>
        <v>9.530741941141517E-2</v>
      </c>
      <c r="Y26" s="1"/>
      <c r="Z26" s="1"/>
      <c r="AA26" s="1"/>
    </row>
    <row r="27" spans="1:27" ht="45">
      <c r="A27" s="12" t="s">
        <v>48</v>
      </c>
      <c r="B27" s="32" t="s">
        <v>49</v>
      </c>
      <c r="C27" s="32" t="s">
        <v>83</v>
      </c>
      <c r="D27" s="32" t="s">
        <v>84</v>
      </c>
      <c r="E27" s="32" t="s">
        <v>85</v>
      </c>
      <c r="F27" s="32" t="s">
        <v>86</v>
      </c>
      <c r="G27" s="32" t="s">
        <v>54</v>
      </c>
      <c r="H27" s="32" t="s">
        <v>55</v>
      </c>
      <c r="I27" s="13" t="s">
        <v>56</v>
      </c>
      <c r="J27" s="23">
        <v>1</v>
      </c>
      <c r="K27" s="16">
        <v>7095000</v>
      </c>
      <c r="L27" s="16">
        <v>1093136.03</v>
      </c>
      <c r="M27" s="16">
        <v>0</v>
      </c>
      <c r="N27" s="17">
        <f t="shared" si="0"/>
        <v>8188136.0300000003</v>
      </c>
      <c r="O27" s="18"/>
      <c r="P27" s="18"/>
      <c r="Q27" s="18"/>
      <c r="R27" s="17">
        <f t="shared" si="1"/>
        <v>8188136.0300000003</v>
      </c>
      <c r="S27" s="16">
        <v>0</v>
      </c>
      <c r="T27" s="19">
        <f t="shared" si="2"/>
        <v>0</v>
      </c>
      <c r="U27" s="24">
        <v>0</v>
      </c>
      <c r="V27" s="19">
        <f t="shared" si="3"/>
        <v>0</v>
      </c>
      <c r="W27" s="16">
        <v>0</v>
      </c>
      <c r="X27" s="19">
        <f t="shared" si="4"/>
        <v>0</v>
      </c>
      <c r="Y27" s="1"/>
      <c r="Z27" s="1"/>
      <c r="AA27" s="1"/>
    </row>
    <row r="28" spans="1:27" ht="15.75" customHeight="1">
      <c r="A28" s="83" t="s">
        <v>87</v>
      </c>
      <c r="B28" s="65"/>
      <c r="C28" s="65"/>
      <c r="D28" s="65"/>
      <c r="E28" s="65"/>
      <c r="F28" s="65"/>
      <c r="G28" s="65"/>
      <c r="H28" s="65"/>
      <c r="I28" s="65"/>
      <c r="J28" s="66"/>
      <c r="K28" s="33">
        <f t="shared" ref="K28:S28" si="5">SUM(K14:K27)</f>
        <v>1272567000</v>
      </c>
      <c r="L28" s="33">
        <f t="shared" si="5"/>
        <v>64990650.049999997</v>
      </c>
      <c r="M28" s="33">
        <f t="shared" si="5"/>
        <v>34990650.049999997</v>
      </c>
      <c r="N28" s="33">
        <f t="shared" si="5"/>
        <v>1302567000</v>
      </c>
      <c r="O28" s="33">
        <f t="shared" si="5"/>
        <v>0</v>
      </c>
      <c r="P28" s="33">
        <f t="shared" si="5"/>
        <v>0</v>
      </c>
      <c r="Q28" s="33">
        <f t="shared" si="5"/>
        <v>-18713237.439999998</v>
      </c>
      <c r="R28" s="33">
        <f t="shared" si="5"/>
        <v>1283853762.5599999</v>
      </c>
      <c r="S28" s="33">
        <f t="shared" si="5"/>
        <v>282249967.37</v>
      </c>
      <c r="T28" s="34">
        <f t="shared" si="2"/>
        <v>0.21984588556814644</v>
      </c>
      <c r="U28" s="33">
        <f>SUM(U14:U27)</f>
        <v>234116729.31</v>
      </c>
      <c r="V28" s="34">
        <f t="shared" si="3"/>
        <v>0.18235467008576745</v>
      </c>
      <c r="W28" s="33">
        <f>SUM(W14:W27)</f>
        <v>159611732.21000001</v>
      </c>
      <c r="X28" s="34">
        <f t="shared" si="4"/>
        <v>0.12432236198905923</v>
      </c>
      <c r="Y28" s="1"/>
      <c r="Z28" s="1"/>
      <c r="AA28" s="1"/>
    </row>
    <row r="29" spans="1:27" ht="15.75" customHeight="1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6"/>
      <c r="L29" s="36"/>
      <c r="M29" s="36"/>
      <c r="N29" s="36"/>
      <c r="O29" s="36"/>
      <c r="P29" s="36"/>
      <c r="Q29" s="36"/>
      <c r="R29" s="36"/>
      <c r="S29" s="36"/>
      <c r="T29" s="37"/>
      <c r="U29" s="36"/>
      <c r="V29" s="37"/>
      <c r="W29" s="36"/>
      <c r="X29" s="37"/>
      <c r="Y29" s="1"/>
      <c r="Z29" s="1"/>
      <c r="AA29" s="1"/>
    </row>
    <row r="30" spans="1:27" ht="15.75" customHeight="1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9"/>
      <c r="L30" s="39"/>
      <c r="M30" s="39"/>
      <c r="N30" s="39"/>
      <c r="O30" s="39"/>
      <c r="P30" s="39"/>
      <c r="Q30" s="39"/>
      <c r="R30" s="39"/>
      <c r="S30" s="39"/>
      <c r="T30" s="40"/>
      <c r="U30" s="39"/>
      <c r="V30" s="40"/>
      <c r="W30" s="39"/>
      <c r="X30" s="40"/>
      <c r="Y30" s="1"/>
      <c r="Z30" s="1"/>
      <c r="AA30" s="1"/>
    </row>
    <row r="31" spans="1:27" ht="54">
      <c r="A31" s="12" t="s">
        <v>88</v>
      </c>
      <c r="B31" s="13" t="s">
        <v>89</v>
      </c>
      <c r="C31" s="13" t="s">
        <v>50</v>
      </c>
      <c r="D31" s="13" t="s">
        <v>90</v>
      </c>
      <c r="E31" s="13" t="s">
        <v>52</v>
      </c>
      <c r="F31" s="13" t="s">
        <v>91</v>
      </c>
      <c r="G31" s="13" t="s">
        <v>54</v>
      </c>
      <c r="H31" s="13" t="s">
        <v>92</v>
      </c>
      <c r="I31" s="13" t="s">
        <v>93</v>
      </c>
      <c r="J31" s="41">
        <v>4</v>
      </c>
      <c r="K31" s="25">
        <v>5700000</v>
      </c>
      <c r="L31" s="16">
        <v>0</v>
      </c>
      <c r="M31" s="16">
        <v>0</v>
      </c>
      <c r="N31" s="17">
        <f t="shared" ref="N31:N65" si="6">K31+L31-M31</f>
        <v>5700000</v>
      </c>
      <c r="O31" s="18"/>
      <c r="P31" s="18"/>
      <c r="Q31" s="18"/>
      <c r="R31" s="17">
        <f t="shared" ref="R31:R65" si="7">N31-O31+P31+Q31</f>
        <v>5700000</v>
      </c>
      <c r="S31" s="25">
        <v>3919341.19</v>
      </c>
      <c r="T31" s="19">
        <f t="shared" ref="T31:T67" si="8">IF(R31&gt;0,S31/R31,0)</f>
        <v>0.68760371754385963</v>
      </c>
      <c r="U31" s="42">
        <v>59404.17</v>
      </c>
      <c r="V31" s="19">
        <f t="shared" ref="V31:V64" si="9">IF(R31&gt;0,U31/R31,0)</f>
        <v>1.0421784210526315E-2</v>
      </c>
      <c r="W31" s="16">
        <v>59404.17</v>
      </c>
      <c r="X31" s="19">
        <f t="shared" ref="X31:X67" si="10">IF(R31&gt;0,W31/R31,0)</f>
        <v>1.0421784210526315E-2</v>
      </c>
      <c r="Y31" s="1"/>
      <c r="Z31" s="1"/>
      <c r="AA31" s="1"/>
    </row>
    <row r="32" spans="1:27" ht="54">
      <c r="A32" s="43" t="s">
        <v>88</v>
      </c>
      <c r="B32" s="13" t="s">
        <v>89</v>
      </c>
      <c r="C32" s="44" t="s">
        <v>50</v>
      </c>
      <c r="D32" s="44" t="s">
        <v>94</v>
      </c>
      <c r="E32" s="13" t="s">
        <v>52</v>
      </c>
      <c r="F32" s="13" t="s">
        <v>91</v>
      </c>
      <c r="G32" s="44" t="s">
        <v>54</v>
      </c>
      <c r="H32" s="44" t="s">
        <v>95</v>
      </c>
      <c r="I32" s="13" t="s">
        <v>93</v>
      </c>
      <c r="J32" s="45">
        <v>4</v>
      </c>
      <c r="K32" s="25">
        <v>0</v>
      </c>
      <c r="L32" s="16">
        <v>6763697.4400000004</v>
      </c>
      <c r="M32" s="16">
        <v>0</v>
      </c>
      <c r="N32" s="17">
        <f t="shared" si="6"/>
        <v>6763697.4400000004</v>
      </c>
      <c r="O32" s="18"/>
      <c r="P32" s="18"/>
      <c r="Q32" s="18"/>
      <c r="R32" s="17">
        <f t="shared" si="7"/>
        <v>6763697.4400000004</v>
      </c>
      <c r="S32" s="25">
        <v>6763697.4400000004</v>
      </c>
      <c r="T32" s="19">
        <f t="shared" si="8"/>
        <v>1</v>
      </c>
      <c r="U32" s="42">
        <v>0</v>
      </c>
      <c r="V32" s="19">
        <f t="shared" si="9"/>
        <v>0</v>
      </c>
      <c r="W32" s="16">
        <v>0</v>
      </c>
      <c r="X32" s="19">
        <f t="shared" si="10"/>
        <v>0</v>
      </c>
      <c r="Y32" s="1"/>
      <c r="Z32" s="1"/>
      <c r="AA32" s="1"/>
    </row>
    <row r="33" spans="1:27" ht="54">
      <c r="A33" s="12" t="s">
        <v>88</v>
      </c>
      <c r="B33" s="13" t="s">
        <v>89</v>
      </c>
      <c r="C33" s="13" t="s">
        <v>50</v>
      </c>
      <c r="D33" s="13" t="s">
        <v>96</v>
      </c>
      <c r="E33" s="13" t="s">
        <v>52</v>
      </c>
      <c r="F33" s="13" t="s">
        <v>91</v>
      </c>
      <c r="G33" s="13" t="s">
        <v>54</v>
      </c>
      <c r="H33" s="13" t="s">
        <v>92</v>
      </c>
      <c r="I33" s="13" t="s">
        <v>93</v>
      </c>
      <c r="J33" s="41">
        <v>4</v>
      </c>
      <c r="K33" s="25">
        <v>26000000</v>
      </c>
      <c r="L33" s="16">
        <v>0</v>
      </c>
      <c r="M33" s="16">
        <v>2810995.02</v>
      </c>
      <c r="N33" s="17">
        <f t="shared" si="6"/>
        <v>23189004.98</v>
      </c>
      <c r="O33" s="18"/>
      <c r="P33" s="18"/>
      <c r="Q33" s="18"/>
      <c r="R33" s="17">
        <f t="shared" si="7"/>
        <v>23189004.98</v>
      </c>
      <c r="S33" s="25">
        <v>15738303.199999999</v>
      </c>
      <c r="T33" s="19">
        <f t="shared" si="8"/>
        <v>0.67869678813618495</v>
      </c>
      <c r="U33" s="42">
        <v>785696.01</v>
      </c>
      <c r="V33" s="19">
        <f t="shared" si="9"/>
        <v>3.3882264921571467E-2</v>
      </c>
      <c r="W33" s="16">
        <v>785696.01</v>
      </c>
      <c r="X33" s="19">
        <f t="shared" si="10"/>
        <v>3.3882264921571467E-2</v>
      </c>
      <c r="Y33" s="1"/>
      <c r="Z33" s="1"/>
      <c r="AA33" s="1"/>
    </row>
    <row r="34" spans="1:27" ht="54">
      <c r="A34" s="12" t="s">
        <v>88</v>
      </c>
      <c r="B34" s="13" t="s">
        <v>89</v>
      </c>
      <c r="C34" s="13" t="s">
        <v>50</v>
      </c>
      <c r="D34" s="13" t="s">
        <v>97</v>
      </c>
      <c r="E34" s="13" t="s">
        <v>52</v>
      </c>
      <c r="F34" s="13" t="s">
        <v>91</v>
      </c>
      <c r="G34" s="13" t="s">
        <v>54</v>
      </c>
      <c r="H34" s="13" t="s">
        <v>92</v>
      </c>
      <c r="I34" s="13" t="s">
        <v>93</v>
      </c>
      <c r="J34" s="41">
        <v>4</v>
      </c>
      <c r="K34" s="25">
        <v>6150000</v>
      </c>
      <c r="L34" s="16">
        <v>504005.81</v>
      </c>
      <c r="M34" s="16">
        <v>0</v>
      </c>
      <c r="N34" s="17">
        <f t="shared" si="6"/>
        <v>6654005.8099999996</v>
      </c>
      <c r="O34" s="18"/>
      <c r="P34" s="18"/>
      <c r="Q34" s="18"/>
      <c r="R34" s="17">
        <f t="shared" si="7"/>
        <v>6654005.8099999996</v>
      </c>
      <c r="S34" s="25">
        <v>6654005.8099999996</v>
      </c>
      <c r="T34" s="19">
        <f t="shared" si="8"/>
        <v>1</v>
      </c>
      <c r="U34" s="42">
        <v>0</v>
      </c>
      <c r="V34" s="19">
        <f t="shared" si="9"/>
        <v>0</v>
      </c>
      <c r="W34" s="16">
        <v>0</v>
      </c>
      <c r="X34" s="19">
        <f t="shared" si="10"/>
        <v>0</v>
      </c>
      <c r="Y34" s="1"/>
      <c r="Z34" s="1"/>
      <c r="AA34" s="1"/>
    </row>
    <row r="35" spans="1:27" ht="54">
      <c r="A35" s="12" t="s">
        <v>88</v>
      </c>
      <c r="B35" s="13" t="s">
        <v>89</v>
      </c>
      <c r="C35" s="13" t="s">
        <v>50</v>
      </c>
      <c r="D35" s="13" t="s">
        <v>98</v>
      </c>
      <c r="E35" s="13" t="s">
        <v>52</v>
      </c>
      <c r="F35" s="13" t="s">
        <v>91</v>
      </c>
      <c r="G35" s="13" t="s">
        <v>54</v>
      </c>
      <c r="H35" s="13" t="s">
        <v>92</v>
      </c>
      <c r="I35" s="13" t="s">
        <v>93</v>
      </c>
      <c r="J35" s="41">
        <v>4</v>
      </c>
      <c r="K35" s="25">
        <v>0</v>
      </c>
      <c r="L35" s="16">
        <v>5800000</v>
      </c>
      <c r="M35" s="16">
        <v>0</v>
      </c>
      <c r="N35" s="17">
        <f t="shared" si="6"/>
        <v>5800000</v>
      </c>
      <c r="O35" s="18"/>
      <c r="P35" s="18"/>
      <c r="Q35" s="18"/>
      <c r="R35" s="17">
        <f t="shared" si="7"/>
        <v>5800000</v>
      </c>
      <c r="S35" s="25">
        <v>5800000</v>
      </c>
      <c r="T35" s="19">
        <f t="shared" si="8"/>
        <v>1</v>
      </c>
      <c r="U35" s="42">
        <v>497408.97</v>
      </c>
      <c r="V35" s="19">
        <f t="shared" si="9"/>
        <v>8.5760167241379304E-2</v>
      </c>
      <c r="W35" s="16">
        <v>497408.97</v>
      </c>
      <c r="X35" s="19">
        <f t="shared" si="10"/>
        <v>8.5760167241379304E-2</v>
      </c>
      <c r="Y35" s="1"/>
      <c r="Z35" s="1"/>
      <c r="AA35" s="1"/>
    </row>
    <row r="36" spans="1:27" ht="54">
      <c r="A36" s="12" t="s">
        <v>88</v>
      </c>
      <c r="B36" s="13" t="s">
        <v>89</v>
      </c>
      <c r="C36" s="13" t="s">
        <v>50</v>
      </c>
      <c r="D36" s="13" t="s">
        <v>99</v>
      </c>
      <c r="E36" s="13" t="s">
        <v>52</v>
      </c>
      <c r="F36" s="13" t="s">
        <v>91</v>
      </c>
      <c r="G36" s="13" t="s">
        <v>54</v>
      </c>
      <c r="H36" s="13" t="s">
        <v>92</v>
      </c>
      <c r="I36" s="13" t="s">
        <v>93</v>
      </c>
      <c r="J36" s="41">
        <v>4</v>
      </c>
      <c r="K36" s="25">
        <v>5800000</v>
      </c>
      <c r="L36" s="16">
        <v>0</v>
      </c>
      <c r="M36" s="16">
        <v>0</v>
      </c>
      <c r="N36" s="17">
        <f t="shared" si="6"/>
        <v>5800000</v>
      </c>
      <c r="O36" s="18"/>
      <c r="P36" s="18"/>
      <c r="Q36" s="18"/>
      <c r="R36" s="17">
        <f t="shared" si="7"/>
        <v>5800000</v>
      </c>
      <c r="S36" s="25">
        <v>4560746.93</v>
      </c>
      <c r="T36" s="19">
        <f t="shared" si="8"/>
        <v>0.78633567758620682</v>
      </c>
      <c r="U36" s="42">
        <v>588705.22</v>
      </c>
      <c r="V36" s="19">
        <f t="shared" si="9"/>
        <v>0.10150089999999999</v>
      </c>
      <c r="W36" s="16">
        <v>588705.22</v>
      </c>
      <c r="X36" s="19">
        <f t="shared" si="10"/>
        <v>0.10150089999999999</v>
      </c>
      <c r="Y36" s="1"/>
      <c r="Z36" s="1"/>
      <c r="AA36" s="1"/>
    </row>
    <row r="37" spans="1:27" ht="54">
      <c r="A37" s="43" t="s">
        <v>88</v>
      </c>
      <c r="B37" s="13" t="s">
        <v>89</v>
      </c>
      <c r="C37" s="44" t="s">
        <v>50</v>
      </c>
      <c r="D37" s="44" t="s">
        <v>99</v>
      </c>
      <c r="E37" s="13" t="s">
        <v>52</v>
      </c>
      <c r="F37" s="13" t="s">
        <v>91</v>
      </c>
      <c r="G37" s="44" t="s">
        <v>54</v>
      </c>
      <c r="H37" s="44" t="s">
        <v>95</v>
      </c>
      <c r="I37" s="13" t="s">
        <v>93</v>
      </c>
      <c r="J37" s="45">
        <v>4</v>
      </c>
      <c r="K37" s="25">
        <v>0</v>
      </c>
      <c r="L37" s="16">
        <v>3328844.83</v>
      </c>
      <c r="M37" s="16">
        <v>0</v>
      </c>
      <c r="N37" s="17">
        <f t="shared" si="6"/>
        <v>3328844.83</v>
      </c>
      <c r="O37" s="18"/>
      <c r="P37" s="18"/>
      <c r="Q37" s="18"/>
      <c r="R37" s="17">
        <f t="shared" si="7"/>
        <v>3328844.83</v>
      </c>
      <c r="S37" s="25">
        <v>3328844.83</v>
      </c>
      <c r="T37" s="19">
        <f t="shared" si="8"/>
        <v>1</v>
      </c>
      <c r="U37" s="42">
        <v>0</v>
      </c>
      <c r="V37" s="19">
        <f t="shared" si="9"/>
        <v>0</v>
      </c>
      <c r="W37" s="16">
        <v>0</v>
      </c>
      <c r="X37" s="19">
        <f t="shared" si="10"/>
        <v>0</v>
      </c>
      <c r="Y37" s="1"/>
      <c r="Z37" s="1"/>
      <c r="AA37" s="1"/>
    </row>
    <row r="38" spans="1:27" ht="54">
      <c r="A38" s="12" t="s">
        <v>88</v>
      </c>
      <c r="B38" s="13" t="s">
        <v>89</v>
      </c>
      <c r="C38" s="13" t="s">
        <v>50</v>
      </c>
      <c r="D38" s="13" t="s">
        <v>100</v>
      </c>
      <c r="E38" s="13" t="s">
        <v>52</v>
      </c>
      <c r="F38" s="13" t="s">
        <v>91</v>
      </c>
      <c r="G38" s="13" t="s">
        <v>54</v>
      </c>
      <c r="H38" s="13" t="s">
        <v>92</v>
      </c>
      <c r="I38" s="13" t="s">
        <v>93</v>
      </c>
      <c r="J38" s="41">
        <v>4</v>
      </c>
      <c r="K38" s="25">
        <v>8500000</v>
      </c>
      <c r="L38" s="16">
        <v>0</v>
      </c>
      <c r="M38" s="16">
        <v>504005.81</v>
      </c>
      <c r="N38" s="17">
        <f t="shared" si="6"/>
        <v>7995994.1900000004</v>
      </c>
      <c r="O38" s="18"/>
      <c r="P38" s="18"/>
      <c r="Q38" s="18"/>
      <c r="R38" s="17">
        <f t="shared" si="7"/>
        <v>7995994.1900000004</v>
      </c>
      <c r="S38" s="25">
        <v>6671994.2300000004</v>
      </c>
      <c r="T38" s="19">
        <f t="shared" si="8"/>
        <v>0.83441709329206004</v>
      </c>
      <c r="U38" s="42">
        <v>0</v>
      </c>
      <c r="V38" s="19">
        <f t="shared" si="9"/>
        <v>0</v>
      </c>
      <c r="W38" s="16">
        <v>0</v>
      </c>
      <c r="X38" s="19">
        <f t="shared" si="10"/>
        <v>0</v>
      </c>
      <c r="Y38" s="1"/>
      <c r="Z38" s="1"/>
      <c r="AA38" s="1"/>
    </row>
    <row r="39" spans="1:27" ht="54">
      <c r="A39" s="12" t="s">
        <v>88</v>
      </c>
      <c r="B39" s="13" t="s">
        <v>89</v>
      </c>
      <c r="C39" s="13" t="s">
        <v>50</v>
      </c>
      <c r="D39" s="13" t="s">
        <v>101</v>
      </c>
      <c r="E39" s="13" t="s">
        <v>52</v>
      </c>
      <c r="F39" s="13" t="s">
        <v>91</v>
      </c>
      <c r="G39" s="13" t="s">
        <v>54</v>
      </c>
      <c r="H39" s="13" t="s">
        <v>92</v>
      </c>
      <c r="I39" s="13" t="s">
        <v>93</v>
      </c>
      <c r="J39" s="41">
        <v>4</v>
      </c>
      <c r="K39" s="25">
        <v>34750000</v>
      </c>
      <c r="L39" s="16">
        <v>2810995.02</v>
      </c>
      <c r="M39" s="16">
        <v>5800000</v>
      </c>
      <c r="N39" s="17">
        <f t="shared" si="6"/>
        <v>31760995.020000003</v>
      </c>
      <c r="O39" s="18"/>
      <c r="P39" s="18"/>
      <c r="Q39" s="18"/>
      <c r="R39" s="17">
        <f t="shared" si="7"/>
        <v>31760995.020000003</v>
      </c>
      <c r="S39" s="25">
        <v>30540862.34</v>
      </c>
      <c r="T39" s="19">
        <f t="shared" si="8"/>
        <v>0.96158392773174517</v>
      </c>
      <c r="U39" s="42">
        <v>2936473.44</v>
      </c>
      <c r="V39" s="19">
        <f t="shared" si="9"/>
        <v>9.2455335172934375E-2</v>
      </c>
      <c r="W39" s="16">
        <v>2936473.44</v>
      </c>
      <c r="X39" s="19">
        <f t="shared" si="10"/>
        <v>9.2455335172934375E-2</v>
      </c>
      <c r="Y39" s="1"/>
      <c r="Z39" s="1"/>
      <c r="AA39" s="1"/>
    </row>
    <row r="40" spans="1:27" ht="54">
      <c r="A40" s="43" t="s">
        <v>88</v>
      </c>
      <c r="B40" s="13" t="s">
        <v>89</v>
      </c>
      <c r="C40" s="44" t="s">
        <v>50</v>
      </c>
      <c r="D40" s="44" t="s">
        <v>101</v>
      </c>
      <c r="E40" s="13" t="s">
        <v>52</v>
      </c>
      <c r="F40" s="13" t="s">
        <v>91</v>
      </c>
      <c r="G40" s="44" t="s">
        <v>54</v>
      </c>
      <c r="H40" s="44" t="s">
        <v>95</v>
      </c>
      <c r="I40" s="13" t="s">
        <v>93</v>
      </c>
      <c r="J40" s="45">
        <v>4</v>
      </c>
      <c r="K40" s="25">
        <v>0</v>
      </c>
      <c r="L40" s="16">
        <v>1090000.02</v>
      </c>
      <c r="M40" s="16">
        <v>0</v>
      </c>
      <c r="N40" s="17">
        <f t="shared" si="6"/>
        <v>1090000.02</v>
      </c>
      <c r="O40" s="18"/>
      <c r="P40" s="18"/>
      <c r="Q40" s="18"/>
      <c r="R40" s="17">
        <f t="shared" si="7"/>
        <v>1090000.02</v>
      </c>
      <c r="S40" s="25">
        <v>0</v>
      </c>
      <c r="T40" s="19">
        <f t="shared" si="8"/>
        <v>0</v>
      </c>
      <c r="U40" s="42">
        <v>0</v>
      </c>
      <c r="V40" s="19">
        <f t="shared" si="9"/>
        <v>0</v>
      </c>
      <c r="W40" s="16">
        <v>0</v>
      </c>
      <c r="X40" s="19">
        <f t="shared" si="10"/>
        <v>0</v>
      </c>
      <c r="Y40" s="1"/>
      <c r="Z40" s="1"/>
      <c r="AA40" s="1"/>
    </row>
    <row r="41" spans="1:27" ht="45">
      <c r="A41" s="12" t="s">
        <v>88</v>
      </c>
      <c r="B41" s="13" t="s">
        <v>89</v>
      </c>
      <c r="C41" s="13" t="s">
        <v>50</v>
      </c>
      <c r="D41" s="13" t="s">
        <v>102</v>
      </c>
      <c r="E41" s="13" t="s">
        <v>52</v>
      </c>
      <c r="F41" s="13" t="s">
        <v>103</v>
      </c>
      <c r="G41" s="13" t="s">
        <v>54</v>
      </c>
      <c r="H41" s="13" t="s">
        <v>92</v>
      </c>
      <c r="I41" s="13" t="s">
        <v>93</v>
      </c>
      <c r="J41" s="41">
        <v>4</v>
      </c>
      <c r="K41" s="25">
        <v>1580250</v>
      </c>
      <c r="L41" s="16">
        <v>0</v>
      </c>
      <c r="M41" s="16">
        <v>0</v>
      </c>
      <c r="N41" s="17">
        <f t="shared" si="6"/>
        <v>1580250</v>
      </c>
      <c r="O41" s="18"/>
      <c r="P41" s="18"/>
      <c r="Q41" s="18"/>
      <c r="R41" s="17">
        <f t="shared" si="7"/>
        <v>1580250</v>
      </c>
      <c r="S41" s="25">
        <v>9250</v>
      </c>
      <c r="T41" s="19">
        <f t="shared" si="8"/>
        <v>5.8535041923746239E-3</v>
      </c>
      <c r="U41" s="42">
        <v>0</v>
      </c>
      <c r="V41" s="19">
        <f t="shared" si="9"/>
        <v>0</v>
      </c>
      <c r="W41" s="16">
        <v>0</v>
      </c>
      <c r="X41" s="19">
        <f t="shared" si="10"/>
        <v>0</v>
      </c>
      <c r="Y41" s="1"/>
      <c r="Z41" s="1"/>
      <c r="AA41" s="1"/>
    </row>
    <row r="42" spans="1:27" ht="45">
      <c r="A42" s="12" t="s">
        <v>88</v>
      </c>
      <c r="B42" s="13" t="s">
        <v>89</v>
      </c>
      <c r="C42" s="13" t="s">
        <v>50</v>
      </c>
      <c r="D42" s="13" t="s">
        <v>51</v>
      </c>
      <c r="E42" s="13" t="s">
        <v>52</v>
      </c>
      <c r="F42" s="13" t="s">
        <v>104</v>
      </c>
      <c r="G42" s="13" t="s">
        <v>54</v>
      </c>
      <c r="H42" s="13" t="s">
        <v>92</v>
      </c>
      <c r="I42" s="13" t="s">
        <v>93</v>
      </c>
      <c r="J42" s="14">
        <v>3</v>
      </c>
      <c r="K42" s="46">
        <f>134024300-K43</f>
        <v>131262000</v>
      </c>
      <c r="L42" s="16">
        <v>2152709.06</v>
      </c>
      <c r="M42" s="16">
        <v>2152709.06</v>
      </c>
      <c r="N42" s="17">
        <f t="shared" si="6"/>
        <v>131262000</v>
      </c>
      <c r="O42" s="18"/>
      <c r="P42" s="18"/>
      <c r="Q42" s="18"/>
      <c r="R42" s="17">
        <f t="shared" si="7"/>
        <v>131262000</v>
      </c>
      <c r="S42" s="46">
        <f>107100384.6-S43</f>
        <v>105510576.61999999</v>
      </c>
      <c r="T42" s="19">
        <f t="shared" si="8"/>
        <v>0.80381661577608132</v>
      </c>
      <c r="U42" s="31">
        <f>17618541.99-U43</f>
        <v>17458755.989999998</v>
      </c>
      <c r="V42" s="19">
        <f t="shared" si="9"/>
        <v>0.13300693262330299</v>
      </c>
      <c r="W42" s="29">
        <f>17172494.34-W43</f>
        <v>17014408.34</v>
      </c>
      <c r="X42" s="19">
        <f t="shared" si="10"/>
        <v>0.12962173622221207</v>
      </c>
      <c r="Y42" s="1"/>
      <c r="Z42" s="1"/>
      <c r="AA42" s="1"/>
    </row>
    <row r="43" spans="1:27" ht="45">
      <c r="A43" s="12" t="s">
        <v>88</v>
      </c>
      <c r="B43" s="13" t="s">
        <v>89</v>
      </c>
      <c r="C43" s="13" t="s">
        <v>50</v>
      </c>
      <c r="D43" s="13" t="s">
        <v>51</v>
      </c>
      <c r="E43" s="13" t="s">
        <v>52</v>
      </c>
      <c r="F43" s="13" t="s">
        <v>104</v>
      </c>
      <c r="G43" s="13" t="s">
        <v>54</v>
      </c>
      <c r="H43" s="13" t="s">
        <v>92</v>
      </c>
      <c r="I43" s="13" t="s">
        <v>93</v>
      </c>
      <c r="J43" s="41">
        <v>4</v>
      </c>
      <c r="K43" s="46">
        <f>2762300</f>
        <v>2762300</v>
      </c>
      <c r="L43" s="16">
        <v>0</v>
      </c>
      <c r="M43" s="16">
        <v>0</v>
      </c>
      <c r="N43" s="17">
        <f t="shared" si="6"/>
        <v>2762300</v>
      </c>
      <c r="O43" s="18"/>
      <c r="P43" s="18"/>
      <c r="Q43" s="18"/>
      <c r="R43" s="17">
        <f t="shared" si="7"/>
        <v>2762300</v>
      </c>
      <c r="S43" s="29">
        <f>3682+5002+22119.42+9087.95+137439+1000+233616.4+997771.79+180089.42</f>
        <v>1589807.98</v>
      </c>
      <c r="T43" s="19">
        <f t="shared" si="8"/>
        <v>0.57553776925026245</v>
      </c>
      <c r="U43" s="47">
        <f>141086+18700</f>
        <v>159786</v>
      </c>
      <c r="V43" s="19">
        <f t="shared" si="9"/>
        <v>5.7845273865981248E-2</v>
      </c>
      <c r="W43" s="29">
        <f>141086+17000</f>
        <v>158086</v>
      </c>
      <c r="X43" s="19">
        <f t="shared" si="10"/>
        <v>5.7229844694638529E-2</v>
      </c>
      <c r="Y43" s="1"/>
      <c r="Z43" s="1"/>
      <c r="AA43" s="1"/>
    </row>
    <row r="44" spans="1:27" ht="43.5" customHeight="1">
      <c r="A44" s="12" t="s">
        <v>88</v>
      </c>
      <c r="B44" s="13" t="s">
        <v>89</v>
      </c>
      <c r="C44" s="13" t="s">
        <v>50</v>
      </c>
      <c r="D44" s="13" t="s">
        <v>51</v>
      </c>
      <c r="E44" s="13" t="s">
        <v>52</v>
      </c>
      <c r="F44" s="13" t="s">
        <v>104</v>
      </c>
      <c r="G44" s="13" t="s">
        <v>54</v>
      </c>
      <c r="H44" s="13" t="s">
        <v>95</v>
      </c>
      <c r="I44" s="13" t="s">
        <v>93</v>
      </c>
      <c r="J44" s="14">
        <v>3</v>
      </c>
      <c r="K44" s="25">
        <v>0</v>
      </c>
      <c r="L44" s="29">
        <f>13281158.79-L45</f>
        <v>12196623.229999999</v>
      </c>
      <c r="M44" s="16">
        <v>0</v>
      </c>
      <c r="N44" s="17">
        <f t="shared" si="6"/>
        <v>12196623.229999999</v>
      </c>
      <c r="O44" s="18"/>
      <c r="P44" s="18"/>
      <c r="Q44" s="18"/>
      <c r="R44" s="17">
        <f t="shared" si="7"/>
        <v>12196623.229999999</v>
      </c>
      <c r="S44" s="29">
        <f>3821723.12-S45</f>
        <v>3333498.56</v>
      </c>
      <c r="T44" s="19">
        <f t="shared" si="8"/>
        <v>0.27331323573237903</v>
      </c>
      <c r="U44" s="20">
        <v>220973.54</v>
      </c>
      <c r="V44" s="19">
        <f t="shared" si="9"/>
        <v>1.8117599915398883E-2</v>
      </c>
      <c r="W44" s="16">
        <v>220973.54</v>
      </c>
      <c r="X44" s="19">
        <f t="shared" si="10"/>
        <v>1.8117599915398883E-2</v>
      </c>
      <c r="Y44" s="1"/>
      <c r="Z44" s="1"/>
      <c r="AA44" s="1"/>
    </row>
    <row r="45" spans="1:27" ht="43.5" customHeight="1">
      <c r="A45" s="12" t="s">
        <v>88</v>
      </c>
      <c r="B45" s="13" t="s">
        <v>89</v>
      </c>
      <c r="C45" s="13" t="s">
        <v>50</v>
      </c>
      <c r="D45" s="13" t="s">
        <v>51</v>
      </c>
      <c r="E45" s="13" t="s">
        <v>52</v>
      </c>
      <c r="F45" s="13" t="s">
        <v>104</v>
      </c>
      <c r="G45" s="13" t="s">
        <v>54</v>
      </c>
      <c r="H45" s="13" t="s">
        <v>95</v>
      </c>
      <c r="I45" s="13" t="s">
        <v>93</v>
      </c>
      <c r="J45" s="41">
        <v>4</v>
      </c>
      <c r="K45" s="25">
        <v>0</v>
      </c>
      <c r="L45" s="16">
        <v>1084535.56</v>
      </c>
      <c r="M45" s="16">
        <v>0</v>
      </c>
      <c r="N45" s="17">
        <f t="shared" si="6"/>
        <v>1084535.56</v>
      </c>
      <c r="O45" s="18"/>
      <c r="P45" s="18"/>
      <c r="Q45" s="18"/>
      <c r="R45" s="17">
        <f t="shared" si="7"/>
        <v>1084535.56</v>
      </c>
      <c r="S45" s="16">
        <v>488224.56</v>
      </c>
      <c r="T45" s="19">
        <f t="shared" si="8"/>
        <v>0.45016925032868443</v>
      </c>
      <c r="U45" s="42">
        <v>0</v>
      </c>
      <c r="V45" s="19">
        <f t="shared" si="9"/>
        <v>0</v>
      </c>
      <c r="W45" s="16">
        <v>0</v>
      </c>
      <c r="X45" s="19">
        <f t="shared" si="10"/>
        <v>0</v>
      </c>
      <c r="Y45" s="1"/>
      <c r="Z45" s="1"/>
      <c r="AA45" s="1"/>
    </row>
    <row r="46" spans="1:27" ht="45">
      <c r="A46" s="12" t="s">
        <v>88</v>
      </c>
      <c r="B46" s="13" t="s">
        <v>89</v>
      </c>
      <c r="C46" s="13" t="s">
        <v>50</v>
      </c>
      <c r="D46" s="13" t="s">
        <v>57</v>
      </c>
      <c r="E46" s="13" t="s">
        <v>52</v>
      </c>
      <c r="F46" s="13" t="s">
        <v>105</v>
      </c>
      <c r="G46" s="13" t="s">
        <v>54</v>
      </c>
      <c r="H46" s="13" t="s">
        <v>92</v>
      </c>
      <c r="I46" s="13" t="s">
        <v>93</v>
      </c>
      <c r="J46" s="14">
        <v>3</v>
      </c>
      <c r="K46" s="25">
        <v>100000</v>
      </c>
      <c r="L46" s="15">
        <v>0</v>
      </c>
      <c r="M46" s="15">
        <v>0</v>
      </c>
      <c r="N46" s="26">
        <f t="shared" si="6"/>
        <v>100000</v>
      </c>
      <c r="O46" s="48"/>
      <c r="P46" s="48"/>
      <c r="Q46" s="48"/>
      <c r="R46" s="26">
        <f t="shared" si="7"/>
        <v>100000</v>
      </c>
      <c r="S46" s="15">
        <v>0</v>
      </c>
      <c r="T46" s="27">
        <f t="shared" si="8"/>
        <v>0</v>
      </c>
      <c r="U46" s="20">
        <v>0</v>
      </c>
      <c r="V46" s="27">
        <f t="shared" si="9"/>
        <v>0</v>
      </c>
      <c r="W46" s="15">
        <v>0</v>
      </c>
      <c r="X46" s="27">
        <f t="shared" si="10"/>
        <v>0</v>
      </c>
      <c r="Y46" s="1"/>
      <c r="Z46" s="1"/>
      <c r="AA46" s="1"/>
    </row>
    <row r="47" spans="1:27" ht="45">
      <c r="A47" s="12" t="s">
        <v>88</v>
      </c>
      <c r="B47" s="13" t="s">
        <v>89</v>
      </c>
      <c r="C47" s="13" t="s">
        <v>50</v>
      </c>
      <c r="D47" s="13" t="s">
        <v>57</v>
      </c>
      <c r="E47" s="13" t="s">
        <v>52</v>
      </c>
      <c r="F47" s="13" t="s">
        <v>105</v>
      </c>
      <c r="G47" s="13" t="s">
        <v>54</v>
      </c>
      <c r="H47" s="13" t="s">
        <v>95</v>
      </c>
      <c r="I47" s="13" t="s">
        <v>93</v>
      </c>
      <c r="J47" s="14">
        <v>3</v>
      </c>
      <c r="K47" s="25">
        <v>0</v>
      </c>
      <c r="L47" s="15">
        <v>36747330</v>
      </c>
      <c r="M47" s="15">
        <v>0</v>
      </c>
      <c r="N47" s="26">
        <f t="shared" si="6"/>
        <v>36747330</v>
      </c>
      <c r="O47" s="48"/>
      <c r="P47" s="48"/>
      <c r="Q47" s="48"/>
      <c r="R47" s="26">
        <f t="shared" si="7"/>
        <v>36747330</v>
      </c>
      <c r="S47" s="15">
        <v>18060410.219999999</v>
      </c>
      <c r="T47" s="27">
        <f t="shared" si="8"/>
        <v>0.49147544107286156</v>
      </c>
      <c r="U47" s="20">
        <v>8769215.0800000001</v>
      </c>
      <c r="V47" s="27">
        <f t="shared" si="9"/>
        <v>0.23863543500983608</v>
      </c>
      <c r="W47" s="15">
        <v>894146.99</v>
      </c>
      <c r="X47" s="27">
        <f t="shared" si="10"/>
        <v>2.4332298156083721E-2</v>
      </c>
      <c r="Y47" s="1"/>
      <c r="Z47" s="1"/>
      <c r="AA47" s="1"/>
    </row>
    <row r="48" spans="1:27" ht="45">
      <c r="A48" s="12" t="s">
        <v>88</v>
      </c>
      <c r="B48" s="13" t="s">
        <v>89</v>
      </c>
      <c r="C48" s="13" t="s">
        <v>50</v>
      </c>
      <c r="D48" s="13" t="s">
        <v>106</v>
      </c>
      <c r="E48" s="13" t="s">
        <v>52</v>
      </c>
      <c r="F48" s="13" t="s">
        <v>107</v>
      </c>
      <c r="G48" s="13" t="s">
        <v>54</v>
      </c>
      <c r="H48" s="13" t="s">
        <v>92</v>
      </c>
      <c r="I48" s="13" t="s">
        <v>93</v>
      </c>
      <c r="J48" s="14">
        <v>3</v>
      </c>
      <c r="K48" s="25">
        <v>960000</v>
      </c>
      <c r="L48" s="15">
        <v>21760</v>
      </c>
      <c r="M48" s="15">
        <v>21760</v>
      </c>
      <c r="N48" s="26">
        <f t="shared" si="6"/>
        <v>960000</v>
      </c>
      <c r="O48" s="48"/>
      <c r="P48" s="48"/>
      <c r="Q48" s="48"/>
      <c r="R48" s="26">
        <f t="shared" si="7"/>
        <v>960000</v>
      </c>
      <c r="S48" s="15">
        <v>386685.6</v>
      </c>
      <c r="T48" s="27">
        <f t="shared" si="8"/>
        <v>0.40279749999999998</v>
      </c>
      <c r="U48" s="20">
        <v>386685.6</v>
      </c>
      <c r="V48" s="27">
        <f t="shared" si="9"/>
        <v>0.40279749999999998</v>
      </c>
      <c r="W48" s="15">
        <v>386685.6</v>
      </c>
      <c r="X48" s="27">
        <f t="shared" si="10"/>
        <v>0.40279749999999998</v>
      </c>
      <c r="Y48" s="1"/>
      <c r="Z48" s="1"/>
      <c r="AA48" s="1"/>
    </row>
    <row r="49" spans="1:27" ht="45">
      <c r="A49" s="12" t="s">
        <v>88</v>
      </c>
      <c r="B49" s="13" t="s">
        <v>89</v>
      </c>
      <c r="C49" s="13" t="s">
        <v>50</v>
      </c>
      <c r="D49" s="13" t="s">
        <v>64</v>
      </c>
      <c r="E49" s="13" t="s">
        <v>67</v>
      </c>
      <c r="F49" s="13" t="s">
        <v>65</v>
      </c>
      <c r="G49" s="13" t="s">
        <v>54</v>
      </c>
      <c r="H49" s="13" t="s">
        <v>92</v>
      </c>
      <c r="I49" s="13" t="s">
        <v>93</v>
      </c>
      <c r="J49" s="14">
        <v>3</v>
      </c>
      <c r="K49" s="25">
        <v>50000</v>
      </c>
      <c r="L49" s="15">
        <v>0</v>
      </c>
      <c r="M49" s="15">
        <v>0</v>
      </c>
      <c r="N49" s="26">
        <f t="shared" si="6"/>
        <v>50000</v>
      </c>
      <c r="O49" s="48"/>
      <c r="P49" s="48"/>
      <c r="Q49" s="48"/>
      <c r="R49" s="26">
        <f t="shared" si="7"/>
        <v>50000</v>
      </c>
      <c r="S49" s="25">
        <v>0</v>
      </c>
      <c r="T49" s="27">
        <f t="shared" si="8"/>
        <v>0</v>
      </c>
      <c r="U49" s="20">
        <v>0</v>
      </c>
      <c r="V49" s="27">
        <f t="shared" si="9"/>
        <v>0</v>
      </c>
      <c r="W49" s="15">
        <v>0</v>
      </c>
      <c r="X49" s="27">
        <f t="shared" si="10"/>
        <v>0</v>
      </c>
      <c r="Y49" s="1"/>
      <c r="Z49" s="1"/>
      <c r="AA49" s="1"/>
    </row>
    <row r="50" spans="1:27" ht="45">
      <c r="A50" s="12" t="s">
        <v>88</v>
      </c>
      <c r="B50" s="13" t="s">
        <v>89</v>
      </c>
      <c r="C50" s="13" t="s">
        <v>50</v>
      </c>
      <c r="D50" s="13" t="s">
        <v>64</v>
      </c>
      <c r="E50" s="13" t="s">
        <v>67</v>
      </c>
      <c r="F50" s="13" t="s">
        <v>65</v>
      </c>
      <c r="G50" s="13" t="s">
        <v>54</v>
      </c>
      <c r="H50" s="13" t="s">
        <v>95</v>
      </c>
      <c r="I50" s="13" t="s">
        <v>93</v>
      </c>
      <c r="J50" s="14">
        <v>3</v>
      </c>
      <c r="K50" s="25">
        <v>0</v>
      </c>
      <c r="L50" s="15">
        <v>8035079</v>
      </c>
      <c r="M50" s="15">
        <v>0</v>
      </c>
      <c r="N50" s="26">
        <f t="shared" si="6"/>
        <v>8035079</v>
      </c>
      <c r="O50" s="48"/>
      <c r="P50" s="48"/>
      <c r="Q50" s="48"/>
      <c r="R50" s="26">
        <f t="shared" si="7"/>
        <v>8035079</v>
      </c>
      <c r="S50" s="25">
        <v>5055011.2699999996</v>
      </c>
      <c r="T50" s="27">
        <f t="shared" si="8"/>
        <v>0.62911780581124332</v>
      </c>
      <c r="U50" s="20">
        <v>18136.7</v>
      </c>
      <c r="V50" s="27">
        <f t="shared" si="9"/>
        <v>2.2571900039812928E-3</v>
      </c>
      <c r="W50" s="15">
        <v>18136.7</v>
      </c>
      <c r="X50" s="27">
        <f t="shared" si="10"/>
        <v>2.2571900039812928E-3</v>
      </c>
      <c r="Y50" s="1"/>
      <c r="Z50" s="1"/>
      <c r="AA50" s="1"/>
    </row>
    <row r="51" spans="1:27" ht="54">
      <c r="A51" s="12" t="s">
        <v>88</v>
      </c>
      <c r="B51" s="13" t="s">
        <v>89</v>
      </c>
      <c r="C51" s="13" t="s">
        <v>50</v>
      </c>
      <c r="D51" s="13" t="s">
        <v>108</v>
      </c>
      <c r="E51" s="13" t="s">
        <v>67</v>
      </c>
      <c r="F51" s="13" t="s">
        <v>109</v>
      </c>
      <c r="G51" s="13" t="s">
        <v>54</v>
      </c>
      <c r="H51" s="13" t="s">
        <v>92</v>
      </c>
      <c r="I51" s="13" t="s">
        <v>93</v>
      </c>
      <c r="J51" s="14">
        <v>3</v>
      </c>
      <c r="K51" s="25">
        <v>200000</v>
      </c>
      <c r="L51" s="15">
        <v>0</v>
      </c>
      <c r="M51" s="15">
        <v>0</v>
      </c>
      <c r="N51" s="26">
        <f t="shared" si="6"/>
        <v>200000</v>
      </c>
      <c r="O51" s="48"/>
      <c r="P51" s="48"/>
      <c r="Q51" s="48"/>
      <c r="R51" s="26">
        <f t="shared" si="7"/>
        <v>200000</v>
      </c>
      <c r="S51" s="25">
        <v>0</v>
      </c>
      <c r="T51" s="27">
        <f t="shared" si="8"/>
        <v>0</v>
      </c>
      <c r="U51" s="20">
        <v>0</v>
      </c>
      <c r="V51" s="27">
        <f t="shared" si="9"/>
        <v>0</v>
      </c>
      <c r="W51" s="15">
        <v>0</v>
      </c>
      <c r="X51" s="27">
        <f t="shared" si="10"/>
        <v>0</v>
      </c>
      <c r="Y51" s="1"/>
      <c r="Z51" s="1"/>
      <c r="AA51" s="1"/>
    </row>
    <row r="52" spans="1:27" ht="54">
      <c r="A52" s="12" t="s">
        <v>88</v>
      </c>
      <c r="B52" s="13" t="s">
        <v>89</v>
      </c>
      <c r="C52" s="13" t="s">
        <v>50</v>
      </c>
      <c r="D52" s="13" t="s">
        <v>110</v>
      </c>
      <c r="E52" s="13" t="s">
        <v>67</v>
      </c>
      <c r="F52" s="13" t="s">
        <v>109</v>
      </c>
      <c r="G52" s="13" t="s">
        <v>54</v>
      </c>
      <c r="H52" s="13" t="s">
        <v>95</v>
      </c>
      <c r="I52" s="13" t="s">
        <v>93</v>
      </c>
      <c r="J52" s="41">
        <v>4</v>
      </c>
      <c r="K52" s="25">
        <v>0</v>
      </c>
      <c r="L52" s="15">
        <v>2843907.01</v>
      </c>
      <c r="M52" s="15">
        <v>0</v>
      </c>
      <c r="N52" s="26">
        <f t="shared" si="6"/>
        <v>2843907.01</v>
      </c>
      <c r="O52" s="48"/>
      <c r="P52" s="48"/>
      <c r="Q52" s="48"/>
      <c r="R52" s="26">
        <f t="shared" si="7"/>
        <v>2843907.01</v>
      </c>
      <c r="S52" s="25">
        <v>0</v>
      </c>
      <c r="T52" s="27">
        <f t="shared" si="8"/>
        <v>0</v>
      </c>
      <c r="U52" s="42">
        <v>0</v>
      </c>
      <c r="V52" s="27">
        <f t="shared" si="9"/>
        <v>0</v>
      </c>
      <c r="W52" s="15">
        <v>0</v>
      </c>
      <c r="X52" s="27">
        <f t="shared" si="10"/>
        <v>0</v>
      </c>
      <c r="Y52" s="1"/>
      <c r="Z52" s="1"/>
      <c r="AA52" s="1"/>
    </row>
    <row r="53" spans="1:27" ht="45">
      <c r="A53" s="12" t="s">
        <v>88</v>
      </c>
      <c r="B53" s="13" t="s">
        <v>89</v>
      </c>
      <c r="C53" s="13" t="s">
        <v>50</v>
      </c>
      <c r="D53" s="13" t="s">
        <v>111</v>
      </c>
      <c r="E53" s="13" t="s">
        <v>67</v>
      </c>
      <c r="F53" s="13" t="s">
        <v>112</v>
      </c>
      <c r="G53" s="13" t="s">
        <v>54</v>
      </c>
      <c r="H53" s="13" t="s">
        <v>92</v>
      </c>
      <c r="I53" s="13" t="s">
        <v>93</v>
      </c>
      <c r="J53" s="41">
        <v>4</v>
      </c>
      <c r="K53" s="25">
        <v>417750</v>
      </c>
      <c r="L53" s="15">
        <v>0</v>
      </c>
      <c r="M53" s="15">
        <v>0</v>
      </c>
      <c r="N53" s="26">
        <f t="shared" si="6"/>
        <v>417750</v>
      </c>
      <c r="O53" s="48"/>
      <c r="P53" s="48"/>
      <c r="Q53" s="48"/>
      <c r="R53" s="26">
        <f t="shared" si="7"/>
        <v>417750</v>
      </c>
      <c r="S53" s="25">
        <v>0</v>
      </c>
      <c r="T53" s="27">
        <f t="shared" si="8"/>
        <v>0</v>
      </c>
      <c r="U53" s="42">
        <v>0</v>
      </c>
      <c r="V53" s="27">
        <f t="shared" si="9"/>
        <v>0</v>
      </c>
      <c r="W53" s="15">
        <v>0</v>
      </c>
      <c r="X53" s="27">
        <f t="shared" si="10"/>
        <v>0</v>
      </c>
      <c r="Y53" s="1"/>
      <c r="Z53" s="1"/>
      <c r="AA53" s="1"/>
    </row>
    <row r="54" spans="1:27" ht="45">
      <c r="A54" s="12" t="s">
        <v>88</v>
      </c>
      <c r="B54" s="13" t="s">
        <v>89</v>
      </c>
      <c r="C54" s="13" t="s">
        <v>50</v>
      </c>
      <c r="D54" s="13" t="s">
        <v>66</v>
      </c>
      <c r="E54" s="13" t="s">
        <v>67</v>
      </c>
      <c r="F54" s="13" t="s">
        <v>113</v>
      </c>
      <c r="G54" s="13" t="s">
        <v>54</v>
      </c>
      <c r="H54" s="13" t="s">
        <v>92</v>
      </c>
      <c r="I54" s="13" t="s">
        <v>93</v>
      </c>
      <c r="J54" s="14">
        <v>3</v>
      </c>
      <c r="K54" s="25">
        <v>50000</v>
      </c>
      <c r="L54" s="15">
        <v>0</v>
      </c>
      <c r="M54" s="15">
        <v>0</v>
      </c>
      <c r="N54" s="26">
        <f t="shared" si="6"/>
        <v>50000</v>
      </c>
      <c r="O54" s="48"/>
      <c r="P54" s="48"/>
      <c r="Q54" s="48"/>
      <c r="R54" s="26">
        <f t="shared" si="7"/>
        <v>50000</v>
      </c>
      <c r="S54" s="25">
        <v>0</v>
      </c>
      <c r="T54" s="27">
        <f t="shared" si="8"/>
        <v>0</v>
      </c>
      <c r="U54" s="20">
        <v>0</v>
      </c>
      <c r="V54" s="27">
        <f t="shared" si="9"/>
        <v>0</v>
      </c>
      <c r="W54" s="15">
        <v>0</v>
      </c>
      <c r="X54" s="27">
        <f t="shared" si="10"/>
        <v>0</v>
      </c>
      <c r="Y54" s="1"/>
      <c r="Z54" s="1"/>
      <c r="AA54" s="1"/>
    </row>
    <row r="55" spans="1:27" ht="45">
      <c r="A55" s="12" t="s">
        <v>88</v>
      </c>
      <c r="B55" s="13" t="s">
        <v>89</v>
      </c>
      <c r="C55" s="13" t="s">
        <v>50</v>
      </c>
      <c r="D55" s="13" t="s">
        <v>66</v>
      </c>
      <c r="E55" s="13" t="s">
        <v>67</v>
      </c>
      <c r="F55" s="13" t="s">
        <v>113</v>
      </c>
      <c r="G55" s="13" t="s">
        <v>114</v>
      </c>
      <c r="H55" s="13" t="s">
        <v>95</v>
      </c>
      <c r="I55" s="13" t="s">
        <v>93</v>
      </c>
      <c r="J55" s="14">
        <v>3</v>
      </c>
      <c r="K55" s="25">
        <v>0</v>
      </c>
      <c r="L55" s="15">
        <v>7944047</v>
      </c>
      <c r="M55" s="15">
        <v>0</v>
      </c>
      <c r="N55" s="26">
        <f t="shared" si="6"/>
        <v>7944047</v>
      </c>
      <c r="O55" s="48"/>
      <c r="P55" s="48"/>
      <c r="Q55" s="48"/>
      <c r="R55" s="26">
        <f t="shared" si="7"/>
        <v>7944047</v>
      </c>
      <c r="S55" s="25">
        <v>4933333.18</v>
      </c>
      <c r="T55" s="27">
        <f t="shared" si="8"/>
        <v>0.62101006955271032</v>
      </c>
      <c r="U55" s="20">
        <v>31048.6</v>
      </c>
      <c r="V55" s="27">
        <f t="shared" si="9"/>
        <v>3.9084109144872882E-3</v>
      </c>
      <c r="W55" s="15">
        <v>31048.6</v>
      </c>
      <c r="X55" s="27">
        <f t="shared" si="10"/>
        <v>3.9084109144872882E-3</v>
      </c>
      <c r="Y55" s="1"/>
      <c r="Z55" s="1"/>
      <c r="AA55" s="1"/>
    </row>
    <row r="56" spans="1:27" ht="45">
      <c r="A56" s="12" t="s">
        <v>88</v>
      </c>
      <c r="B56" s="13" t="s">
        <v>89</v>
      </c>
      <c r="C56" s="13" t="s">
        <v>50</v>
      </c>
      <c r="D56" s="13" t="s">
        <v>69</v>
      </c>
      <c r="E56" s="13" t="s">
        <v>67</v>
      </c>
      <c r="F56" s="13" t="s">
        <v>70</v>
      </c>
      <c r="G56" s="13" t="s">
        <v>54</v>
      </c>
      <c r="H56" s="13" t="s">
        <v>92</v>
      </c>
      <c r="I56" s="13" t="s">
        <v>93</v>
      </c>
      <c r="J56" s="14">
        <v>3</v>
      </c>
      <c r="K56" s="46">
        <f>10279396-K57</f>
        <v>10039196</v>
      </c>
      <c r="L56" s="16">
        <v>383346.48</v>
      </c>
      <c r="M56" s="16">
        <v>383346.48</v>
      </c>
      <c r="N56" s="17">
        <f t="shared" si="6"/>
        <v>10039196</v>
      </c>
      <c r="O56" s="18"/>
      <c r="P56" s="18"/>
      <c r="Q56" s="18"/>
      <c r="R56" s="17">
        <f t="shared" si="7"/>
        <v>10039196</v>
      </c>
      <c r="S56" s="29">
        <f>7948011.41-S57</f>
        <v>7925741.4299999997</v>
      </c>
      <c r="T56" s="19">
        <f t="shared" si="8"/>
        <v>0.78947969837425225</v>
      </c>
      <c r="U56" s="20">
        <v>2879244.76</v>
      </c>
      <c r="V56" s="19">
        <f t="shared" si="9"/>
        <v>0.28680033341315381</v>
      </c>
      <c r="W56" s="16">
        <v>2829052.26</v>
      </c>
      <c r="X56" s="19">
        <f t="shared" si="10"/>
        <v>0.28180068005445852</v>
      </c>
      <c r="Y56" s="1"/>
      <c r="Z56" s="1"/>
      <c r="AA56" s="1"/>
    </row>
    <row r="57" spans="1:27" ht="45">
      <c r="A57" s="12" t="s">
        <v>88</v>
      </c>
      <c r="B57" s="13" t="s">
        <v>89</v>
      </c>
      <c r="C57" s="13" t="s">
        <v>50</v>
      </c>
      <c r="D57" s="13" t="s">
        <v>69</v>
      </c>
      <c r="E57" s="13" t="s">
        <v>67</v>
      </c>
      <c r="F57" s="13" t="s">
        <v>70</v>
      </c>
      <c r="G57" s="13" t="s">
        <v>54</v>
      </c>
      <c r="H57" s="13" t="s">
        <v>92</v>
      </c>
      <c r="I57" s="13" t="s">
        <v>93</v>
      </c>
      <c r="J57" s="41">
        <v>4</v>
      </c>
      <c r="K57" s="46">
        <f>240200</f>
        <v>240200</v>
      </c>
      <c r="L57" s="16">
        <v>0</v>
      </c>
      <c r="M57" s="16">
        <v>0</v>
      </c>
      <c r="N57" s="17">
        <f t="shared" si="6"/>
        <v>240200</v>
      </c>
      <c r="O57" s="18"/>
      <c r="P57" s="18"/>
      <c r="Q57" s="18"/>
      <c r="R57" s="17">
        <f t="shared" si="7"/>
        <v>240200</v>
      </c>
      <c r="S57" s="29">
        <f>1240+21029.98</f>
        <v>22269.98</v>
      </c>
      <c r="T57" s="19">
        <f t="shared" si="8"/>
        <v>9.2714321398834301E-2</v>
      </c>
      <c r="U57" s="42">
        <v>0</v>
      </c>
      <c r="V57" s="19">
        <f t="shared" si="9"/>
        <v>0</v>
      </c>
      <c r="W57" s="16">
        <v>0</v>
      </c>
      <c r="X57" s="19">
        <f t="shared" si="10"/>
        <v>0</v>
      </c>
      <c r="Y57" s="1"/>
      <c r="Z57" s="1"/>
      <c r="AA57" s="1"/>
    </row>
    <row r="58" spans="1:27" ht="34.5" customHeight="1">
      <c r="A58" s="43" t="s">
        <v>88</v>
      </c>
      <c r="B58" s="13" t="s">
        <v>89</v>
      </c>
      <c r="C58" s="44" t="s">
        <v>50</v>
      </c>
      <c r="D58" s="44" t="s">
        <v>69</v>
      </c>
      <c r="E58" s="13" t="s">
        <v>67</v>
      </c>
      <c r="F58" s="13" t="s">
        <v>70</v>
      </c>
      <c r="G58" s="44" t="s">
        <v>54</v>
      </c>
      <c r="H58" s="44" t="s">
        <v>95</v>
      </c>
      <c r="I58" s="13" t="s">
        <v>93</v>
      </c>
      <c r="J58" s="14">
        <v>3</v>
      </c>
      <c r="K58" s="25">
        <v>0</v>
      </c>
      <c r="L58" s="16">
        <v>2400000</v>
      </c>
      <c r="M58" s="16">
        <v>0</v>
      </c>
      <c r="N58" s="17">
        <f t="shared" si="6"/>
        <v>2400000</v>
      </c>
      <c r="O58" s="18"/>
      <c r="P58" s="18"/>
      <c r="Q58" s="18"/>
      <c r="R58" s="17">
        <f t="shared" si="7"/>
        <v>2400000</v>
      </c>
      <c r="S58" s="16">
        <v>115844.04</v>
      </c>
      <c r="T58" s="19">
        <f t="shared" si="8"/>
        <v>4.8268349999999995E-2</v>
      </c>
      <c r="U58" s="20">
        <v>115844.04</v>
      </c>
      <c r="V58" s="19">
        <f t="shared" si="9"/>
        <v>4.8268349999999995E-2</v>
      </c>
      <c r="W58" s="16">
        <v>115844.04</v>
      </c>
      <c r="X58" s="19">
        <f t="shared" si="10"/>
        <v>4.8268349999999995E-2</v>
      </c>
      <c r="Y58" s="1"/>
      <c r="Z58" s="1"/>
      <c r="AA58" s="1"/>
    </row>
    <row r="59" spans="1:27" ht="54">
      <c r="A59" s="12" t="s">
        <v>88</v>
      </c>
      <c r="B59" s="13" t="s">
        <v>89</v>
      </c>
      <c r="C59" s="13" t="s">
        <v>115</v>
      </c>
      <c r="D59" s="13" t="s">
        <v>116</v>
      </c>
      <c r="E59" s="13" t="s">
        <v>52</v>
      </c>
      <c r="F59" s="13" t="s">
        <v>117</v>
      </c>
      <c r="G59" s="13" t="s">
        <v>54</v>
      </c>
      <c r="H59" s="13" t="s">
        <v>92</v>
      </c>
      <c r="I59" s="13" t="s">
        <v>93</v>
      </c>
      <c r="J59" s="14">
        <v>3</v>
      </c>
      <c r="K59" s="46">
        <f>73913500-K60</f>
        <v>50900000</v>
      </c>
      <c r="L59" s="15">
        <v>1132720.4099999999</v>
      </c>
      <c r="M59" s="15">
        <v>1132720.4099999999</v>
      </c>
      <c r="N59" s="26">
        <f t="shared" si="6"/>
        <v>50900000</v>
      </c>
      <c r="O59" s="48"/>
      <c r="P59" s="48"/>
      <c r="Q59" s="48"/>
      <c r="R59" s="26">
        <f t="shared" si="7"/>
        <v>50900000</v>
      </c>
      <c r="S59" s="28">
        <f>36002376.08-S60</f>
        <v>29906806.059999999</v>
      </c>
      <c r="T59" s="27">
        <f t="shared" si="8"/>
        <v>0.58756004047151278</v>
      </c>
      <c r="U59" s="20">
        <v>7279753.6900000004</v>
      </c>
      <c r="V59" s="27">
        <f t="shared" si="9"/>
        <v>0.14302070117878193</v>
      </c>
      <c r="W59" s="15">
        <v>7279753.6900000004</v>
      </c>
      <c r="X59" s="27">
        <f t="shared" si="10"/>
        <v>0.14302070117878193</v>
      </c>
      <c r="Y59" s="1"/>
      <c r="Z59" s="1"/>
      <c r="AA59" s="1"/>
    </row>
    <row r="60" spans="1:27" ht="54">
      <c r="A60" s="12" t="s">
        <v>88</v>
      </c>
      <c r="B60" s="32" t="s">
        <v>89</v>
      </c>
      <c r="C60" s="32" t="s">
        <v>115</v>
      </c>
      <c r="D60" s="32" t="s">
        <v>116</v>
      </c>
      <c r="E60" s="13" t="s">
        <v>52</v>
      </c>
      <c r="F60" s="13" t="s">
        <v>117</v>
      </c>
      <c r="G60" s="32" t="s">
        <v>54</v>
      </c>
      <c r="H60" s="32" t="s">
        <v>92</v>
      </c>
      <c r="I60" s="13" t="s">
        <v>93</v>
      </c>
      <c r="J60" s="41">
        <v>4</v>
      </c>
      <c r="K60" s="46">
        <f>5671500+17342000</f>
        <v>23013500</v>
      </c>
      <c r="L60" s="16">
        <v>0</v>
      </c>
      <c r="M60" s="15">
        <v>0</v>
      </c>
      <c r="N60" s="17">
        <f t="shared" si="6"/>
        <v>23013500</v>
      </c>
      <c r="O60" s="18"/>
      <c r="P60" s="18"/>
      <c r="Q60" s="18"/>
      <c r="R60" s="17">
        <f t="shared" si="7"/>
        <v>23013500</v>
      </c>
      <c r="S60" s="28">
        <f>75000+2517250+2667250.02+836070</f>
        <v>6095570.0199999996</v>
      </c>
      <c r="T60" s="19">
        <f t="shared" si="8"/>
        <v>0.26486931670541203</v>
      </c>
      <c r="U60" s="42">
        <v>0</v>
      </c>
      <c r="V60" s="19">
        <f t="shared" si="9"/>
        <v>0</v>
      </c>
      <c r="W60" s="16">
        <v>0</v>
      </c>
      <c r="X60" s="19">
        <f t="shared" si="10"/>
        <v>0</v>
      </c>
      <c r="Y60" s="1"/>
      <c r="Z60" s="1"/>
      <c r="AA60" s="1"/>
    </row>
    <row r="61" spans="1:27" ht="54">
      <c r="A61" s="12" t="s">
        <v>88</v>
      </c>
      <c r="B61" s="32" t="s">
        <v>89</v>
      </c>
      <c r="C61" s="32" t="s">
        <v>115</v>
      </c>
      <c r="D61" s="32" t="s">
        <v>116</v>
      </c>
      <c r="E61" s="13" t="s">
        <v>52</v>
      </c>
      <c r="F61" s="13" t="s">
        <v>118</v>
      </c>
      <c r="G61" s="32" t="s">
        <v>54</v>
      </c>
      <c r="H61" s="32" t="s">
        <v>95</v>
      </c>
      <c r="I61" s="13" t="s">
        <v>93</v>
      </c>
      <c r="J61" s="14">
        <v>3</v>
      </c>
      <c r="K61" s="25">
        <v>0</v>
      </c>
      <c r="L61" s="29">
        <f>37499066.63-L62</f>
        <v>19816084.410000004</v>
      </c>
      <c r="M61" s="15">
        <v>0</v>
      </c>
      <c r="N61" s="17">
        <f t="shared" si="6"/>
        <v>19816084.410000004</v>
      </c>
      <c r="O61" s="18"/>
      <c r="P61" s="18"/>
      <c r="Q61" s="18"/>
      <c r="R61" s="17">
        <f t="shared" si="7"/>
        <v>19816084.410000004</v>
      </c>
      <c r="S61" s="28">
        <f>25113531.41-S62</f>
        <v>19816084.41</v>
      </c>
      <c r="T61" s="19">
        <f t="shared" si="8"/>
        <v>0.99999999999999978</v>
      </c>
      <c r="U61" s="31">
        <f>16345940.41</f>
        <v>16345940.41</v>
      </c>
      <c r="V61" s="19">
        <f t="shared" si="9"/>
        <v>0.8248824576943754</v>
      </c>
      <c r="W61" s="16">
        <v>16345940.41</v>
      </c>
      <c r="X61" s="19">
        <f t="shared" si="10"/>
        <v>0.8248824576943754</v>
      </c>
      <c r="Y61" s="1"/>
      <c r="Z61" s="1"/>
      <c r="AA61" s="1"/>
    </row>
    <row r="62" spans="1:27" ht="54">
      <c r="A62" s="12" t="s">
        <v>88</v>
      </c>
      <c r="B62" s="32" t="s">
        <v>89</v>
      </c>
      <c r="C62" s="32" t="s">
        <v>115</v>
      </c>
      <c r="D62" s="32" t="s">
        <v>116</v>
      </c>
      <c r="E62" s="13" t="s">
        <v>52</v>
      </c>
      <c r="F62" s="13" t="s">
        <v>118</v>
      </c>
      <c r="G62" s="32" t="s">
        <v>54</v>
      </c>
      <c r="H62" s="32" t="s">
        <v>95</v>
      </c>
      <c r="I62" s="13" t="s">
        <v>93</v>
      </c>
      <c r="J62" s="41">
        <v>4</v>
      </c>
      <c r="K62" s="25">
        <v>0</v>
      </c>
      <c r="L62" s="29">
        <f>12385535.22+5297447</f>
        <v>17682982.219999999</v>
      </c>
      <c r="M62" s="15">
        <v>0</v>
      </c>
      <c r="N62" s="17">
        <f t="shared" si="6"/>
        <v>17682982.219999999</v>
      </c>
      <c r="O62" s="18"/>
      <c r="P62" s="18"/>
      <c r="Q62" s="18"/>
      <c r="R62" s="17">
        <f t="shared" si="7"/>
        <v>17682982.219999999</v>
      </c>
      <c r="S62" s="28">
        <f>5297447</f>
        <v>5297447</v>
      </c>
      <c r="T62" s="19">
        <f t="shared" si="8"/>
        <v>0.29957882296620891</v>
      </c>
      <c r="U62" s="42">
        <v>0</v>
      </c>
      <c r="V62" s="19">
        <f t="shared" si="9"/>
        <v>0</v>
      </c>
      <c r="W62" s="16">
        <v>0</v>
      </c>
      <c r="X62" s="19">
        <f t="shared" si="10"/>
        <v>0</v>
      </c>
      <c r="Y62" s="1"/>
      <c r="Z62" s="1"/>
      <c r="AA62" s="1"/>
    </row>
    <row r="63" spans="1:27" ht="45">
      <c r="A63" s="12" t="s">
        <v>88</v>
      </c>
      <c r="B63" s="32" t="s">
        <v>89</v>
      </c>
      <c r="C63" s="32" t="s">
        <v>73</v>
      </c>
      <c r="D63" s="32" t="s">
        <v>74</v>
      </c>
      <c r="E63" s="13" t="s">
        <v>52</v>
      </c>
      <c r="F63" s="13" t="s">
        <v>119</v>
      </c>
      <c r="G63" s="32" t="s">
        <v>54</v>
      </c>
      <c r="H63" s="32" t="s">
        <v>92</v>
      </c>
      <c r="I63" s="13" t="s">
        <v>93</v>
      </c>
      <c r="J63" s="14">
        <v>3</v>
      </c>
      <c r="K63" s="25">
        <v>4460804</v>
      </c>
      <c r="L63" s="16">
        <v>5585</v>
      </c>
      <c r="M63" s="15">
        <v>5585</v>
      </c>
      <c r="N63" s="17">
        <f t="shared" si="6"/>
        <v>4460804</v>
      </c>
      <c r="O63" s="18"/>
      <c r="P63" s="18"/>
      <c r="Q63" s="18"/>
      <c r="R63" s="17">
        <f t="shared" si="7"/>
        <v>4460804</v>
      </c>
      <c r="S63" s="28">
        <f>490271.9</f>
        <v>490271.9</v>
      </c>
      <c r="T63" s="19">
        <f t="shared" si="8"/>
        <v>0.10990662221429141</v>
      </c>
      <c r="U63" s="20">
        <v>180522.18</v>
      </c>
      <c r="V63" s="19">
        <f t="shared" si="9"/>
        <v>4.0468529888334027E-2</v>
      </c>
      <c r="W63" s="16">
        <v>179677.38</v>
      </c>
      <c r="X63" s="19">
        <f t="shared" si="10"/>
        <v>4.0279146987852413E-2</v>
      </c>
      <c r="Y63" s="1"/>
      <c r="Z63" s="1"/>
      <c r="AA63" s="1"/>
    </row>
    <row r="64" spans="1:27" ht="45">
      <c r="A64" s="12" t="s">
        <v>88</v>
      </c>
      <c r="B64" s="32" t="s">
        <v>89</v>
      </c>
      <c r="C64" s="32" t="s">
        <v>73</v>
      </c>
      <c r="D64" s="32" t="s">
        <v>76</v>
      </c>
      <c r="E64" s="13" t="s">
        <v>52</v>
      </c>
      <c r="F64" s="13" t="s">
        <v>77</v>
      </c>
      <c r="G64" s="32" t="s">
        <v>54</v>
      </c>
      <c r="H64" s="32" t="s">
        <v>92</v>
      </c>
      <c r="I64" s="13" t="s">
        <v>93</v>
      </c>
      <c r="J64" s="14">
        <v>3</v>
      </c>
      <c r="K64" s="25">
        <v>3500000</v>
      </c>
      <c r="L64" s="16">
        <v>0</v>
      </c>
      <c r="M64" s="15">
        <v>0</v>
      </c>
      <c r="N64" s="17">
        <f t="shared" si="6"/>
        <v>3500000</v>
      </c>
      <c r="O64" s="18"/>
      <c r="P64" s="18"/>
      <c r="Q64" s="18"/>
      <c r="R64" s="17">
        <f t="shared" si="7"/>
        <v>3500000</v>
      </c>
      <c r="S64" s="15">
        <v>0</v>
      </c>
      <c r="T64" s="19">
        <f t="shared" si="8"/>
        <v>0</v>
      </c>
      <c r="U64" s="20">
        <v>0</v>
      </c>
      <c r="V64" s="19">
        <f t="shared" si="9"/>
        <v>0</v>
      </c>
      <c r="W64" s="16">
        <v>0</v>
      </c>
      <c r="X64" s="19">
        <f t="shared" si="10"/>
        <v>0</v>
      </c>
      <c r="Y64" s="1"/>
      <c r="Z64" s="1"/>
      <c r="AA64" s="1"/>
    </row>
    <row r="65" spans="1:27" ht="45">
      <c r="A65" s="12" t="s">
        <v>88</v>
      </c>
      <c r="B65" s="32" t="s">
        <v>89</v>
      </c>
      <c r="C65" s="32" t="s">
        <v>73</v>
      </c>
      <c r="D65" s="32" t="s">
        <v>76</v>
      </c>
      <c r="E65" s="13" t="s">
        <v>67</v>
      </c>
      <c r="F65" s="32" t="s">
        <v>77</v>
      </c>
      <c r="G65" s="32" t="s">
        <v>54</v>
      </c>
      <c r="H65" s="32" t="s">
        <v>120</v>
      </c>
      <c r="I65" s="13" t="s">
        <v>93</v>
      </c>
      <c r="J65" s="14">
        <v>3</v>
      </c>
      <c r="K65" s="25">
        <v>950000</v>
      </c>
      <c r="L65" s="16">
        <v>23155</v>
      </c>
      <c r="M65" s="16">
        <v>23155</v>
      </c>
      <c r="N65" s="17">
        <f t="shared" si="6"/>
        <v>950000</v>
      </c>
      <c r="O65" s="18"/>
      <c r="P65" s="18"/>
      <c r="Q65" s="18"/>
      <c r="R65" s="17">
        <f t="shared" si="7"/>
        <v>950000</v>
      </c>
      <c r="S65" s="15">
        <v>345326</v>
      </c>
      <c r="T65" s="19">
        <f t="shared" si="8"/>
        <v>0.36350105263157895</v>
      </c>
      <c r="U65" s="20">
        <v>129351</v>
      </c>
      <c r="V65" s="19">
        <v>0</v>
      </c>
      <c r="W65" s="16">
        <v>123545.09</v>
      </c>
      <c r="X65" s="19">
        <f t="shared" si="10"/>
        <v>0.13004746315789473</v>
      </c>
      <c r="Y65" s="1"/>
      <c r="Z65" s="1"/>
      <c r="AA65" s="1"/>
    </row>
    <row r="66" spans="1:27" ht="15.75" customHeight="1">
      <c r="A66" s="84" t="s">
        <v>121</v>
      </c>
      <c r="B66" s="65"/>
      <c r="C66" s="65"/>
      <c r="D66" s="65"/>
      <c r="E66" s="65"/>
      <c r="F66" s="65"/>
      <c r="G66" s="65"/>
      <c r="H66" s="65"/>
      <c r="I66" s="65"/>
      <c r="J66" s="66"/>
      <c r="K66" s="33">
        <f t="shared" ref="K66:S66" si="11">SUM(K31:K65)</f>
        <v>317386000</v>
      </c>
      <c r="L66" s="33">
        <f t="shared" si="11"/>
        <v>132767407.5</v>
      </c>
      <c r="M66" s="33">
        <f t="shared" si="11"/>
        <v>12834276.780000001</v>
      </c>
      <c r="N66" s="33">
        <f t="shared" si="11"/>
        <v>437319130.72000003</v>
      </c>
      <c r="O66" s="33">
        <f t="shared" si="11"/>
        <v>0</v>
      </c>
      <c r="P66" s="33">
        <f t="shared" si="11"/>
        <v>0</v>
      </c>
      <c r="Q66" s="33">
        <f t="shared" si="11"/>
        <v>0</v>
      </c>
      <c r="R66" s="33">
        <f t="shared" si="11"/>
        <v>437319130.72000003</v>
      </c>
      <c r="S66" s="33">
        <f t="shared" si="11"/>
        <v>293359954.79999995</v>
      </c>
      <c r="T66" s="34">
        <f t="shared" si="8"/>
        <v>0.67081436459688737</v>
      </c>
      <c r="U66" s="33">
        <f>SUM(U31:U65)</f>
        <v>58842945.399999999</v>
      </c>
      <c r="V66" s="34">
        <f t="shared" ref="V66:V67" si="12">IF(R66&gt;0,U66/R66,0)</f>
        <v>0.13455378753525205</v>
      </c>
      <c r="W66" s="33">
        <f>SUM(W31:W65)</f>
        <v>50464986.449999996</v>
      </c>
      <c r="X66" s="34">
        <f t="shared" si="10"/>
        <v>0.11539624705398709</v>
      </c>
      <c r="Y66" s="1"/>
      <c r="Z66" s="1"/>
      <c r="AA66" s="1"/>
    </row>
    <row r="67" spans="1:27" ht="15.75" customHeight="1">
      <c r="A67" s="85" t="s">
        <v>122</v>
      </c>
      <c r="B67" s="65"/>
      <c r="C67" s="65"/>
      <c r="D67" s="65"/>
      <c r="E67" s="65"/>
      <c r="F67" s="65"/>
      <c r="G67" s="65"/>
      <c r="H67" s="65"/>
      <c r="I67" s="65"/>
      <c r="J67" s="66"/>
      <c r="K67" s="49">
        <f t="shared" ref="K67:S67" si="13">SUM(K28+K66)</f>
        <v>1589953000</v>
      </c>
      <c r="L67" s="49">
        <f t="shared" si="13"/>
        <v>197758057.55000001</v>
      </c>
      <c r="M67" s="49">
        <f t="shared" si="13"/>
        <v>47824926.829999998</v>
      </c>
      <c r="N67" s="50">
        <f t="shared" si="13"/>
        <v>1739886130.72</v>
      </c>
      <c r="O67" s="50">
        <f t="shared" si="13"/>
        <v>0</v>
      </c>
      <c r="P67" s="50">
        <f t="shared" si="13"/>
        <v>0</v>
      </c>
      <c r="Q67" s="50">
        <f t="shared" si="13"/>
        <v>-18713237.439999998</v>
      </c>
      <c r="R67" s="50">
        <f t="shared" si="13"/>
        <v>1721172893.28</v>
      </c>
      <c r="S67" s="50">
        <f t="shared" si="13"/>
        <v>575609922.16999996</v>
      </c>
      <c r="T67" s="51">
        <f t="shared" si="8"/>
        <v>0.33442887952591049</v>
      </c>
      <c r="U67" s="50">
        <f>SUM(U28+U66)</f>
        <v>292959674.70999998</v>
      </c>
      <c r="V67" s="51">
        <f t="shared" si="12"/>
        <v>0.17020932403351613</v>
      </c>
      <c r="W67" s="50">
        <f>SUM(W28+W66)</f>
        <v>210076718.66</v>
      </c>
      <c r="X67" s="51">
        <f t="shared" si="10"/>
        <v>0.12205439644105803</v>
      </c>
      <c r="Y67" s="22"/>
      <c r="Z67" s="1"/>
      <c r="AA67" s="1"/>
    </row>
    <row r="68" spans="1:27" ht="15.75" customHeight="1">
      <c r="A68" s="52" t="s">
        <v>123</v>
      </c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1"/>
      <c r="Z68" s="1"/>
      <c r="AA68" s="1"/>
    </row>
    <row r="69" spans="1:27" ht="15.75" customHeight="1">
      <c r="A69" s="52" t="s">
        <v>124</v>
      </c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1"/>
      <c r="Z69" s="54"/>
      <c r="AA69" s="1"/>
    </row>
    <row r="70" spans="1:27" ht="15.75" customHeight="1">
      <c r="A70" s="86" t="s">
        <v>125</v>
      </c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6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1"/>
      <c r="Z70" s="54"/>
      <c r="AA70" s="1"/>
    </row>
    <row r="71" spans="1:27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55"/>
      <c r="R71" s="1"/>
      <c r="S71" s="1"/>
      <c r="T71" s="55"/>
      <c r="U71" s="1"/>
      <c r="V71" s="56"/>
      <c r="W71" s="57"/>
      <c r="X71" s="1"/>
      <c r="Y71" s="56"/>
      <c r="Z71" s="1"/>
      <c r="AA71" s="1"/>
    </row>
    <row r="72" spans="1:27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90"/>
      <c r="R72" s="91"/>
      <c r="S72" s="92"/>
      <c r="T72" s="93"/>
      <c r="U72" s="92"/>
      <c r="V72" s="92"/>
      <c r="W72" s="92"/>
      <c r="X72" s="94"/>
      <c r="Y72" s="59"/>
      <c r="Z72" s="1"/>
      <c r="AA72" s="1"/>
    </row>
    <row r="73" spans="1:27" ht="15.75" customHeight="1">
      <c r="A73" s="1"/>
      <c r="B73" s="22"/>
      <c r="C73" s="22"/>
      <c r="D73" s="22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95"/>
      <c r="R73" s="93"/>
      <c r="S73" s="92"/>
      <c r="T73" s="95"/>
      <c r="U73" s="92"/>
      <c r="V73" s="92"/>
      <c r="W73" s="96"/>
      <c r="X73" s="97"/>
      <c r="Z73" s="1"/>
      <c r="AA73" s="1"/>
    </row>
    <row r="74" spans="1:27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98"/>
      <c r="R74" s="99"/>
      <c r="S74" s="92"/>
      <c r="T74" s="100"/>
      <c r="U74" s="99"/>
      <c r="V74" s="92"/>
      <c r="W74" s="95"/>
      <c r="X74" s="101"/>
      <c r="Z74" s="1"/>
      <c r="AA74" s="1"/>
    </row>
    <row r="75" spans="1:27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87"/>
      <c r="L75" s="71"/>
      <c r="M75" s="71"/>
      <c r="N75" s="71"/>
      <c r="O75" s="1"/>
      <c r="P75" s="1"/>
      <c r="Q75" s="98"/>
      <c r="R75" s="99"/>
      <c r="S75" s="92"/>
      <c r="T75" s="100"/>
      <c r="U75" s="99"/>
      <c r="V75" s="92"/>
      <c r="W75" s="95"/>
      <c r="X75" s="101"/>
      <c r="Z75" s="1"/>
      <c r="AA75" s="1"/>
    </row>
    <row r="76" spans="1:27" ht="15.75" customHeight="1">
      <c r="A76" s="1"/>
      <c r="B76" s="1"/>
      <c r="C76" s="1"/>
      <c r="D76" s="1"/>
      <c r="E76" s="1"/>
      <c r="F76" s="87"/>
      <c r="G76" s="71"/>
      <c r="H76" s="71"/>
      <c r="I76" s="71"/>
      <c r="J76" s="1"/>
      <c r="K76" s="1"/>
      <c r="L76" s="1"/>
      <c r="M76" s="1"/>
      <c r="N76" s="1"/>
      <c r="O76" s="1"/>
      <c r="P76" s="1"/>
      <c r="Q76" s="98"/>
      <c r="R76" s="99"/>
      <c r="S76" s="92"/>
      <c r="T76" s="100"/>
      <c r="U76" s="99"/>
      <c r="V76" s="92"/>
      <c r="W76" s="95"/>
      <c r="X76" s="101"/>
      <c r="Z76" s="1"/>
      <c r="AA76" s="1"/>
    </row>
    <row r="77" spans="1:2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02"/>
      <c r="R77" s="103"/>
      <c r="S77" s="92"/>
      <c r="T77" s="104"/>
      <c r="U77" s="103"/>
      <c r="V77" s="92"/>
      <c r="W77" s="92"/>
      <c r="X77" s="97"/>
      <c r="Z77" s="1"/>
      <c r="AA77" s="1"/>
    </row>
    <row r="78" spans="1:27" ht="15.75" customHeight="1">
      <c r="A78" s="1"/>
      <c r="B78" s="1"/>
      <c r="C78" s="60"/>
      <c r="D78" s="61"/>
      <c r="E78" s="1"/>
      <c r="F78" s="60"/>
      <c r="G78" s="61"/>
      <c r="H78" s="1"/>
      <c r="I78" s="1"/>
      <c r="J78" s="1"/>
      <c r="K78" s="1"/>
      <c r="L78" s="60"/>
      <c r="M78" s="61"/>
      <c r="N78" s="62"/>
      <c r="O78" s="1"/>
      <c r="P78" s="1"/>
      <c r="Q78" s="105"/>
      <c r="R78" s="106"/>
      <c r="S78" s="94"/>
      <c r="T78" s="94"/>
      <c r="U78" s="94"/>
      <c r="V78" s="107"/>
      <c r="W78" s="92"/>
      <c r="X78" s="92"/>
      <c r="Y78" s="58"/>
      <c r="Z78" s="1"/>
      <c r="AA78" s="1"/>
    </row>
    <row r="79" spans="1:27" ht="15.75" customHeight="1">
      <c r="A79" s="1"/>
      <c r="B79" s="1"/>
      <c r="C79" s="60"/>
      <c r="D79" s="61"/>
      <c r="E79" s="1"/>
      <c r="F79" s="60"/>
      <c r="G79" s="61"/>
      <c r="H79" s="1"/>
      <c r="I79" s="1"/>
      <c r="J79" s="1"/>
      <c r="K79" s="1"/>
      <c r="L79" s="60"/>
      <c r="M79" s="61"/>
      <c r="N79" s="1"/>
      <c r="O79" s="1"/>
      <c r="P79" s="1"/>
      <c r="Q79" s="105"/>
      <c r="R79" s="106"/>
      <c r="S79" s="105"/>
      <c r="T79" s="105"/>
      <c r="U79" s="105"/>
      <c r="V79" s="105"/>
      <c r="W79" s="105"/>
      <c r="X79" s="106"/>
      <c r="Y79" s="56"/>
      <c r="Z79" s="1"/>
      <c r="AA79" s="1"/>
    </row>
    <row r="80" spans="1:27" ht="15.75" customHeight="1">
      <c r="A80" s="1"/>
      <c r="B80" s="1"/>
      <c r="C80" s="60"/>
      <c r="D80" s="63"/>
      <c r="E80" s="1"/>
      <c r="F80" s="60"/>
      <c r="G80" s="61"/>
      <c r="H80" s="1"/>
      <c r="I80" s="1"/>
      <c r="J80" s="1"/>
      <c r="K80" s="1"/>
      <c r="L80" s="1"/>
      <c r="M80" s="1"/>
      <c r="N80" s="1"/>
      <c r="O80" s="1"/>
      <c r="P80" s="1"/>
      <c r="Q80" s="105"/>
      <c r="R80" s="106"/>
      <c r="S80" s="105"/>
      <c r="T80" s="105"/>
      <c r="U80" s="108"/>
      <c r="V80" s="105"/>
      <c r="W80" s="106"/>
      <c r="X80" s="106"/>
      <c r="Y80" s="56"/>
      <c r="Z80" s="1"/>
      <c r="AA80" s="1"/>
    </row>
    <row r="81" spans="1:27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62"/>
      <c r="N81" s="1"/>
      <c r="O81" s="1"/>
      <c r="P81" s="1"/>
      <c r="Q81" s="1"/>
      <c r="R81" s="1"/>
      <c r="S81" s="1"/>
      <c r="T81" s="1"/>
      <c r="U81" s="62"/>
      <c r="V81" s="56"/>
      <c r="W81" s="56"/>
      <c r="X81" s="56"/>
      <c r="Y81" s="1"/>
      <c r="Z81" s="1"/>
      <c r="AA81" s="1"/>
    </row>
    <row r="82" spans="1:27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62"/>
      <c r="V82" s="56"/>
      <c r="W82" s="56"/>
      <c r="X82" s="56"/>
      <c r="Y82" s="1"/>
      <c r="Z82" s="1"/>
      <c r="AA82" s="1"/>
    </row>
    <row r="83" spans="1:27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60"/>
      <c r="M84" s="61"/>
      <c r="N84" s="62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60"/>
      <c r="M85" s="6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>
      <c r="A86" s="1"/>
      <c r="B86" s="1"/>
      <c r="C86" s="1"/>
      <c r="D86" s="56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62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60"/>
      <c r="M90" s="61"/>
      <c r="N90" s="62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60"/>
      <c r="M91" s="6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56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62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62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2"/>
      <c r="V97" s="1"/>
      <c r="W97" s="1"/>
      <c r="X97" s="1"/>
      <c r="Y97" s="1"/>
      <c r="Z97" s="1"/>
      <c r="AA97" s="1"/>
    </row>
    <row r="98" spans="1:27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2"/>
      <c r="V98" s="1"/>
      <c r="W98" s="1"/>
      <c r="X98" s="1"/>
      <c r="Y98" s="1"/>
      <c r="Z98" s="1"/>
      <c r="AA98" s="1"/>
    </row>
    <row r="99" spans="1:27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/>
    <row r="272" spans="1:27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mergeCells count="32">
    <mergeCell ref="T77:U77"/>
    <mergeCell ref="A8:F8"/>
    <mergeCell ref="A9:X9"/>
    <mergeCell ref="K11:K12"/>
    <mergeCell ref="L11:M11"/>
    <mergeCell ref="N11:N12"/>
    <mergeCell ref="O11:O12"/>
    <mergeCell ref="S11:X11"/>
    <mergeCell ref="J12:J13"/>
    <mergeCell ref="A28:J28"/>
    <mergeCell ref="A66:J66"/>
    <mergeCell ref="A67:J67"/>
    <mergeCell ref="A70:M70"/>
    <mergeCell ref="K75:N75"/>
    <mergeCell ref="F76:I76"/>
    <mergeCell ref="A11:J11"/>
    <mergeCell ref="A6:F6"/>
    <mergeCell ref="A7:F7"/>
    <mergeCell ref="P11:Q11"/>
    <mergeCell ref="R11:R12"/>
    <mergeCell ref="Q77:R77"/>
    <mergeCell ref="A12:B12"/>
    <mergeCell ref="C12:C13"/>
    <mergeCell ref="D12:D13"/>
    <mergeCell ref="E12:F12"/>
    <mergeCell ref="G12:G13"/>
    <mergeCell ref="H12:I12"/>
    <mergeCell ref="A1:F1"/>
    <mergeCell ref="A2:F2"/>
    <mergeCell ref="A3:F3"/>
    <mergeCell ref="A4:F4"/>
    <mergeCell ref="A5:F5"/>
  </mergeCells>
  <printOptions horizontalCentered="1"/>
  <pageMargins left="0.7" right="0.7" top="0.75" bottom="0.75" header="0" footer="0"/>
  <pageSetup paperSize="9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MARÇO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daniel.moreira</cp:lastModifiedBy>
  <dcterms:modified xsi:type="dcterms:W3CDTF">2026-04-13T14:48:50Z</dcterms:modified>
</cp:coreProperties>
</file>