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655" windowHeight="9150"/>
  </bookViews>
  <sheets>
    <sheet name="FEVEREIRO" sheetId="2" r:id="rId1"/>
  </sheets>
  <calcPr calcId="125725"/>
</workbook>
</file>

<file path=xl/calcChain.xml><?xml version="1.0" encoding="utf-8"?>
<calcChain xmlns="http://schemas.openxmlformats.org/spreadsheetml/2006/main">
  <c r="P54" i="2"/>
  <c r="O54"/>
  <c r="Q53"/>
  <c r="P53"/>
  <c r="O53"/>
  <c r="N52"/>
  <c r="R52" s="1"/>
  <c r="X51"/>
  <c r="R51"/>
  <c r="T51" s="1"/>
  <c r="N51"/>
  <c r="N50"/>
  <c r="R50" s="1"/>
  <c r="K50"/>
  <c r="K49" s="1"/>
  <c r="N49" s="1"/>
  <c r="R49" s="1"/>
  <c r="U48"/>
  <c r="S48"/>
  <c r="S47" s="1"/>
  <c r="N48"/>
  <c r="R48" s="1"/>
  <c r="L48"/>
  <c r="K48"/>
  <c r="K47" s="1"/>
  <c r="K53" s="1"/>
  <c r="W47"/>
  <c r="U47"/>
  <c r="X46"/>
  <c r="R46"/>
  <c r="T46" s="1"/>
  <c r="N46"/>
  <c r="N45"/>
  <c r="R45" s="1"/>
  <c r="V44"/>
  <c r="T44"/>
  <c r="R44"/>
  <c r="X44" s="1"/>
  <c r="N44"/>
  <c r="T43"/>
  <c r="R43"/>
  <c r="V43" s="1"/>
  <c r="N43"/>
  <c r="K43"/>
  <c r="X42"/>
  <c r="T42"/>
  <c r="R42"/>
  <c r="V42" s="1"/>
  <c r="N42"/>
  <c r="R41"/>
  <c r="T41" s="1"/>
  <c r="N41"/>
  <c r="N40"/>
  <c r="R40" s="1"/>
  <c r="X39"/>
  <c r="R39"/>
  <c r="T39" s="1"/>
  <c r="N39"/>
  <c r="N38"/>
  <c r="R38" s="1"/>
  <c r="X37"/>
  <c r="V37"/>
  <c r="T37"/>
  <c r="R37"/>
  <c r="N37"/>
  <c r="X36"/>
  <c r="T36"/>
  <c r="S36"/>
  <c r="S35" s="1"/>
  <c r="R36"/>
  <c r="V36" s="1"/>
  <c r="N36"/>
  <c r="W35"/>
  <c r="W53" s="1"/>
  <c r="U35"/>
  <c r="M35"/>
  <c r="M53" s="1"/>
  <c r="M54" s="1"/>
  <c r="L35"/>
  <c r="K35"/>
  <c r="N34"/>
  <c r="R34" s="1"/>
  <c r="N33"/>
  <c r="R33" s="1"/>
  <c r="R32"/>
  <c r="T32" s="1"/>
  <c r="N32"/>
  <c r="N31"/>
  <c r="V30"/>
  <c r="T30"/>
  <c r="R30"/>
  <c r="X30" s="1"/>
  <c r="N30"/>
  <c r="P27"/>
  <c r="O27"/>
  <c r="M27"/>
  <c r="L27"/>
  <c r="N26"/>
  <c r="R26" s="1"/>
  <c r="W25"/>
  <c r="U25"/>
  <c r="U24" s="1"/>
  <c r="S25"/>
  <c r="S24" s="1"/>
  <c r="N25"/>
  <c r="R25" s="1"/>
  <c r="Q24"/>
  <c r="Q27" s="1"/>
  <c r="K24"/>
  <c r="N24" s="1"/>
  <c r="R23"/>
  <c r="T23" s="1"/>
  <c r="N23"/>
  <c r="T22"/>
  <c r="R22"/>
  <c r="V22" s="1"/>
  <c r="N22"/>
  <c r="V21"/>
  <c r="R21"/>
  <c r="X21" s="1"/>
  <c r="N21"/>
  <c r="N20"/>
  <c r="R20" s="1"/>
  <c r="R19"/>
  <c r="T19" s="1"/>
  <c r="N19"/>
  <c r="N18"/>
  <c r="R18" s="1"/>
  <c r="V17"/>
  <c r="T17"/>
  <c r="R17"/>
  <c r="X17" s="1"/>
  <c r="N17"/>
  <c r="U16"/>
  <c r="S16"/>
  <c r="N16"/>
  <c r="R16" s="1"/>
  <c r="K16"/>
  <c r="N15"/>
  <c r="R15" s="1"/>
  <c r="R14"/>
  <c r="T14" s="1"/>
  <c r="N14"/>
  <c r="X34" l="1"/>
  <c r="V34"/>
  <c r="Q54"/>
  <c r="U53"/>
  <c r="N35"/>
  <c r="R35" s="1"/>
  <c r="V35" s="1"/>
  <c r="V14"/>
  <c r="R24"/>
  <c r="V24" s="1"/>
  <c r="X14"/>
  <c r="X23"/>
  <c r="V23"/>
  <c r="V52"/>
  <c r="X52"/>
  <c r="T52"/>
  <c r="S27"/>
  <c r="X16"/>
  <c r="T16"/>
  <c r="V16"/>
  <c r="T38"/>
  <c r="V38"/>
  <c r="X38"/>
  <c r="T50"/>
  <c r="V50"/>
  <c r="X50"/>
  <c r="T45"/>
  <c r="V45"/>
  <c r="X45"/>
  <c r="V49"/>
  <c r="T49"/>
  <c r="X49"/>
  <c r="X18"/>
  <c r="T18"/>
  <c r="V18"/>
  <c r="T25"/>
  <c r="V25"/>
  <c r="X25"/>
  <c r="X15"/>
  <c r="T15"/>
  <c r="V15"/>
  <c r="R27"/>
  <c r="T20"/>
  <c r="V20"/>
  <c r="X20"/>
  <c r="V26"/>
  <c r="T26"/>
  <c r="X26"/>
  <c r="T33"/>
  <c r="V33"/>
  <c r="X33"/>
  <c r="T48"/>
  <c r="V48"/>
  <c r="X48"/>
  <c r="V40"/>
  <c r="X40"/>
  <c r="T40"/>
  <c r="S53"/>
  <c r="T21"/>
  <c r="K27"/>
  <c r="K54" s="1"/>
  <c r="T34"/>
  <c r="L47"/>
  <c r="U27"/>
  <c r="W24"/>
  <c r="V39"/>
  <c r="V46"/>
  <c r="V51"/>
  <c r="R31"/>
  <c r="X41"/>
  <c r="V41"/>
  <c r="X43"/>
  <c r="X22"/>
  <c r="X19"/>
  <c r="X32"/>
  <c r="V19"/>
  <c r="N27"/>
  <c r="V32"/>
  <c r="U54" l="1"/>
  <c r="T24"/>
  <c r="X35"/>
  <c r="T35"/>
  <c r="S54"/>
  <c r="L53"/>
  <c r="L54" s="1"/>
  <c r="N47"/>
  <c r="X27"/>
  <c r="T27"/>
  <c r="V27"/>
  <c r="X31"/>
  <c r="V31"/>
  <c r="T31"/>
  <c r="W27"/>
  <c r="W54" s="1"/>
  <c r="X24"/>
  <c r="R47" l="1"/>
  <c r="N53"/>
  <c r="N54" s="1"/>
  <c r="T47" l="1"/>
  <c r="V47"/>
  <c r="X47"/>
  <c r="R53"/>
  <c r="V53" l="1"/>
  <c r="X53"/>
  <c r="T53"/>
  <c r="R54"/>
  <c r="T54" l="1"/>
  <c r="V54"/>
  <c r="X54"/>
</calcChain>
</file>

<file path=xl/sharedStrings.xml><?xml version="1.0" encoding="utf-8"?>
<sst xmlns="http://schemas.openxmlformats.org/spreadsheetml/2006/main" count="383" uniqueCount="123">
  <si>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</si>
  <si>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</si>
  <si>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</si>
  <si>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</si>
  <si>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</si>
  <si>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</si>
  <si>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</si>
  <si>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</si>
  <si>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</si>
  <si>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</si>
  <si>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</si>
  <si>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</si>
  <si>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</si>
  <si>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</si>
  <si>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</si>
  <si>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</si>
  <si>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</si>
  <si>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</si>
  <si>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</si>
  <si>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</si>
  <si>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</si>
  <si>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</si>
  <si>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</si>
  <si>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</si>
  <si>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</si>
  <si>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</si>
  <si>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</si>
  <si>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</si>
  <si>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</si>
  <si>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</si>
  <si>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</si>
  <si>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</si>
  <si>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</si>
  <si>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</si>
  <si>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</si>
  <si>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</si>
  <si>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</si>
  <si>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</si>
  <si>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</si>
  <si>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</si>
  <si>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</si>
  <si>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</si>
  <si>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</si>
  <si>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</si>
  <si>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</si>
  <si>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</si>
  <si>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</si>
  <si>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</si>
  <si>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</si>
  <si>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</si>
  <si>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</si>
  <si>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</si>
  <si>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</si>
  <si>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</si>
  <si>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</si>
  <si>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</si>
  <si>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</si>
  <si>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</si>
  <si>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</si>
  <si>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</si>
  <si>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</si>
  <si>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</si>
  <si>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</si>
  <si>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</si>
  <si>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</si>
  <si>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</si>
  <si>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</si>
  <si>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</si>
  <si>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</si>
  <si>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</si>
  <si>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</si>
  <si>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</si>
  <si>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</si>
  <si>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</si>
  <si>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</si>
  <si>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</si>
  <si>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</si>
  <si>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</si>
  <si>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</si>
  <si>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</si>
  <si>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</si>
  <si>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</si>
  <si>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</si>
  <si>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</si>
  <si>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</si>
  <si>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</si>
  <si>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</si>
  <si>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</si>
  <si>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</si>
  <si>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</si>
  <si>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</si>
  <si>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</si>
  <si>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</si>
  <si>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</si>
  <si>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</si>
  <si>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</si>
  <si>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</si>
  <si>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</si>
  <si>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</si>
  <si>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</si>
  <si>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</si>
  <si>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</si>
  <si>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</si>
  <si>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</si>
  <si>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</si>
  <si>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</si>
  <si>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</si>
  <si>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</si>
  <si>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</si>
  <si>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</si>
  <si>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</si>
  <si>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</si>
  <si>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</si>
  <si>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</si>
  <si>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</si>
  <si>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</si>
  <si>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</si>
  <si>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</si>
  <si>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</si>
  <si>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</si>
  <si>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Responsável pela Informação: SECRETÁRIA DE ORÇAMENTO E FINANÇAS</t>
  </si>
  <si>
    <t>Mês de Referência: 02/2025</t>
  </si>
  <si>
    <t>Data da Publicação: 06/03/2025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</si>
</sst>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8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sz val="11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sz val="12"/>
      <color theme="1"/>
      <name val="Arial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</fills>
  <borders count="1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62"/>
  <sheetViews>
    <sheetView tabSelected="1" workbookViewId="0">
      <selection sqref="A1:F1"/>
    </sheetView>
  </sheetViews>
  <sheetFormatPr defaultColWidth="12.5703125" defaultRowHeight="15.75" customHeight="1"/>
  <cols>
    <col min="8" max="8" width="13" customWidth="1"/>
  </cols>
  <sheetData>
    <row r="1" spans="1:27">
      <c r="A1" s="55" t="s">
        <v>0</v>
      </c>
      <c r="B1" s="56"/>
      <c r="C1" s="56"/>
      <c r="D1" s="56"/>
      <c r="E1" s="56"/>
      <c r="F1" s="57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58" t="s">
        <v>1</v>
      </c>
      <c r="B2" s="59"/>
      <c r="C2" s="59"/>
      <c r="D2" s="59"/>
      <c r="E2" s="59"/>
      <c r="F2" s="60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58" t="s">
        <v>2</v>
      </c>
      <c r="B3" s="59"/>
      <c r="C3" s="59"/>
      <c r="D3" s="59"/>
      <c r="E3" s="59"/>
      <c r="F3" s="60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61" t="s">
        <v>3</v>
      </c>
      <c r="B4" s="56"/>
      <c r="C4" s="56"/>
      <c r="D4" s="56"/>
      <c r="E4" s="56"/>
      <c r="F4" s="57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76" t="s">
        <v>120</v>
      </c>
      <c r="B5" s="62"/>
      <c r="C5" s="62"/>
      <c r="D5" s="62"/>
      <c r="E5" s="62"/>
      <c r="F5" s="63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61" t="s">
        <v>121</v>
      </c>
      <c r="B6" s="56"/>
      <c r="C6" s="56"/>
      <c r="D6" s="56"/>
      <c r="E6" s="56"/>
      <c r="F6" s="57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64" t="s">
        <v>122</v>
      </c>
      <c r="B7" s="56"/>
      <c r="C7" s="56"/>
      <c r="D7" s="56"/>
      <c r="E7" s="56"/>
      <c r="F7" s="57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68"/>
      <c r="B8" s="62"/>
      <c r="C8" s="62"/>
      <c r="D8" s="62"/>
      <c r="E8" s="62"/>
      <c r="F8" s="62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69" t="s">
        <v>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>
      <c r="A11" s="65" t="s">
        <v>5</v>
      </c>
      <c r="B11" s="56"/>
      <c r="C11" s="56"/>
      <c r="D11" s="56"/>
      <c r="E11" s="56"/>
      <c r="F11" s="56"/>
      <c r="G11" s="56"/>
      <c r="H11" s="56"/>
      <c r="I11" s="56"/>
      <c r="J11" s="57"/>
      <c r="K11" s="66" t="s">
        <v>6</v>
      </c>
      <c r="L11" s="65" t="s">
        <v>7</v>
      </c>
      <c r="M11" s="57"/>
      <c r="N11" s="66" t="s">
        <v>8</v>
      </c>
      <c r="O11" s="66" t="s">
        <v>9</v>
      </c>
      <c r="P11" s="65" t="s">
        <v>10</v>
      </c>
      <c r="Q11" s="57"/>
      <c r="R11" s="66" t="s">
        <v>11</v>
      </c>
      <c r="S11" s="65" t="s">
        <v>12</v>
      </c>
      <c r="T11" s="56"/>
      <c r="U11" s="56"/>
      <c r="V11" s="56"/>
      <c r="W11" s="56"/>
      <c r="X11" s="57"/>
      <c r="Y11" s="1"/>
      <c r="Z11" s="1"/>
      <c r="AA11" s="1"/>
    </row>
    <row r="12" spans="1:27" ht="14.25">
      <c r="A12" s="75" t="s">
        <v>13</v>
      </c>
      <c r="B12" s="57"/>
      <c r="C12" s="66" t="s">
        <v>14</v>
      </c>
      <c r="D12" s="66" t="s">
        <v>15</v>
      </c>
      <c r="E12" s="75" t="s">
        <v>16</v>
      </c>
      <c r="F12" s="57"/>
      <c r="G12" s="66" t="s">
        <v>17</v>
      </c>
      <c r="H12" s="75" t="s">
        <v>18</v>
      </c>
      <c r="I12" s="57"/>
      <c r="J12" s="70" t="s">
        <v>19</v>
      </c>
      <c r="K12" s="67"/>
      <c r="L12" s="7" t="s">
        <v>20</v>
      </c>
      <c r="M12" s="7" t="s">
        <v>21</v>
      </c>
      <c r="N12" s="67"/>
      <c r="O12" s="67"/>
      <c r="P12" s="7" t="s">
        <v>22</v>
      </c>
      <c r="Q12" s="7" t="s">
        <v>23</v>
      </c>
      <c r="R12" s="67"/>
      <c r="S12" s="7" t="s">
        <v>24</v>
      </c>
      <c r="T12" s="8" t="s">
        <v>25</v>
      </c>
      <c r="U12" s="7" t="s">
        <v>26</v>
      </c>
      <c r="V12" s="8" t="s">
        <v>25</v>
      </c>
      <c r="W12" s="9" t="s">
        <v>27</v>
      </c>
      <c r="X12" s="8" t="s">
        <v>25</v>
      </c>
      <c r="Y12" s="1"/>
      <c r="Z12" s="1"/>
      <c r="AA12" s="1"/>
    </row>
    <row r="13" spans="1:27" ht="30.75" customHeight="1">
      <c r="A13" s="10" t="s">
        <v>28</v>
      </c>
      <c r="B13" s="10" t="s">
        <v>16</v>
      </c>
      <c r="C13" s="67"/>
      <c r="D13" s="67"/>
      <c r="E13" s="10" t="s">
        <v>29</v>
      </c>
      <c r="F13" s="10" t="s">
        <v>30</v>
      </c>
      <c r="G13" s="67"/>
      <c r="H13" s="10" t="s">
        <v>28</v>
      </c>
      <c r="I13" s="10" t="s">
        <v>16</v>
      </c>
      <c r="J13" s="67"/>
      <c r="K13" s="10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0" t="s">
        <v>38</v>
      </c>
      <c r="S13" s="10" t="s">
        <v>39</v>
      </c>
      <c r="T13" s="77" t="s">
        <v>40</v>
      </c>
      <c r="U13" s="10" t="s">
        <v>41</v>
      </c>
      <c r="V13" s="77" t="s">
        <v>42</v>
      </c>
      <c r="W13" s="78" t="s">
        <v>43</v>
      </c>
      <c r="X13" s="77" t="s">
        <v>44</v>
      </c>
      <c r="Y13" s="1"/>
      <c r="Z13" s="1"/>
      <c r="AA13" s="1"/>
    </row>
    <row r="14" spans="1:27" ht="36">
      <c r="A14" s="11" t="s">
        <v>45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51</v>
      </c>
      <c r="H14" s="12" t="s">
        <v>52</v>
      </c>
      <c r="I14" s="12" t="s">
        <v>53</v>
      </c>
      <c r="J14" s="13">
        <v>3</v>
      </c>
      <c r="K14" s="14">
        <v>100000</v>
      </c>
      <c r="L14" s="15">
        <v>0</v>
      </c>
      <c r="M14" s="15">
        <v>0</v>
      </c>
      <c r="N14" s="16">
        <f t="shared" ref="N14:N26" si="0">K14+L14-M14</f>
        <v>100000</v>
      </c>
      <c r="O14" s="17"/>
      <c r="P14" s="17"/>
      <c r="Q14" s="17"/>
      <c r="R14" s="16">
        <f t="shared" ref="R14:R26" si="1">N14-O14+P14+Q14</f>
        <v>100000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 ht="36">
      <c r="A15" s="11" t="s">
        <v>45</v>
      </c>
      <c r="B15" s="12" t="s">
        <v>46</v>
      </c>
      <c r="C15" s="12" t="s">
        <v>47</v>
      </c>
      <c r="D15" s="12" t="s">
        <v>54</v>
      </c>
      <c r="E15" s="12" t="s">
        <v>49</v>
      </c>
      <c r="F15" s="12" t="s">
        <v>55</v>
      </c>
      <c r="G15" s="12" t="s">
        <v>51</v>
      </c>
      <c r="H15" s="12" t="s">
        <v>52</v>
      </c>
      <c r="I15" s="12" t="s">
        <v>53</v>
      </c>
      <c r="J15" s="13">
        <v>3</v>
      </c>
      <c r="K15" s="14">
        <v>84417500</v>
      </c>
      <c r="L15" s="15">
        <v>0</v>
      </c>
      <c r="M15" s="15">
        <v>0</v>
      </c>
      <c r="N15" s="16">
        <f t="shared" si="0"/>
        <v>84417500</v>
      </c>
      <c r="O15" s="20"/>
      <c r="P15" s="17"/>
      <c r="Q15" s="17"/>
      <c r="R15" s="16">
        <f t="shared" si="1"/>
        <v>84417500</v>
      </c>
      <c r="S15" s="15">
        <v>15000234.869999999</v>
      </c>
      <c r="T15" s="18">
        <f t="shared" si="2"/>
        <v>0.17769105777830424</v>
      </c>
      <c r="U15" s="19">
        <v>15000234.869999999</v>
      </c>
      <c r="V15" s="18">
        <f t="shared" si="3"/>
        <v>0.17769105777830424</v>
      </c>
      <c r="W15" s="15">
        <v>15000234.869999999</v>
      </c>
      <c r="X15" s="18">
        <f t="shared" si="4"/>
        <v>0.17769105777830424</v>
      </c>
      <c r="Y15" s="21"/>
      <c r="Z15" s="1"/>
      <c r="AA15" s="1"/>
    </row>
    <row r="16" spans="1:27" ht="36">
      <c r="A16" s="11" t="s">
        <v>45</v>
      </c>
      <c r="B16" s="12" t="s">
        <v>46</v>
      </c>
      <c r="C16" s="12" t="s">
        <v>47</v>
      </c>
      <c r="D16" s="12" t="s">
        <v>56</v>
      </c>
      <c r="E16" s="12" t="s">
        <v>49</v>
      </c>
      <c r="F16" s="12" t="s">
        <v>57</v>
      </c>
      <c r="G16" s="12" t="s">
        <v>51</v>
      </c>
      <c r="H16" s="12" t="s">
        <v>52</v>
      </c>
      <c r="I16" s="12" t="s">
        <v>53</v>
      </c>
      <c r="J16" s="22">
        <v>1</v>
      </c>
      <c r="K16" s="14">
        <f>509048274</f>
        <v>509048274</v>
      </c>
      <c r="L16" s="15">
        <v>1444811.56</v>
      </c>
      <c r="M16" s="15">
        <v>1444811.56</v>
      </c>
      <c r="N16" s="16">
        <f t="shared" si="0"/>
        <v>509048274</v>
      </c>
      <c r="O16" s="17"/>
      <c r="P16" s="17"/>
      <c r="Q16" s="17"/>
      <c r="R16" s="16">
        <f t="shared" si="1"/>
        <v>509048274</v>
      </c>
      <c r="S16" s="15">
        <f>84166592.57</f>
        <v>84166592.569999993</v>
      </c>
      <c r="T16" s="18">
        <f t="shared" si="2"/>
        <v>0.16534108230764769</v>
      </c>
      <c r="U16" s="23">
        <f>84166592.57</f>
        <v>84166592.569999993</v>
      </c>
      <c r="V16" s="18">
        <f t="shared" si="3"/>
        <v>0.16534108230764769</v>
      </c>
      <c r="W16" s="15">
        <v>69793728.810000002</v>
      </c>
      <c r="X16" s="18">
        <f t="shared" si="4"/>
        <v>0.13710630675863955</v>
      </c>
      <c r="Y16" s="1"/>
      <c r="Z16" s="1"/>
      <c r="AA16" s="1"/>
    </row>
    <row r="17" spans="1:27" ht="45">
      <c r="A17" s="11" t="s">
        <v>45</v>
      </c>
      <c r="B17" s="12" t="s">
        <v>46</v>
      </c>
      <c r="C17" s="12" t="s">
        <v>47</v>
      </c>
      <c r="D17" s="12" t="s">
        <v>58</v>
      </c>
      <c r="E17" s="12" t="s">
        <v>59</v>
      </c>
      <c r="F17" s="12" t="s">
        <v>60</v>
      </c>
      <c r="G17" s="12" t="s">
        <v>51</v>
      </c>
      <c r="H17" s="12" t="s">
        <v>52</v>
      </c>
      <c r="I17" s="12" t="s">
        <v>53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4569791.43</v>
      </c>
      <c r="T17" s="18">
        <f t="shared" si="2"/>
        <v>0.18418111956600594</v>
      </c>
      <c r="U17" s="19">
        <v>4569791.43</v>
      </c>
      <c r="V17" s="18">
        <f t="shared" si="3"/>
        <v>0.18418111956600594</v>
      </c>
      <c r="W17" s="15">
        <v>4569791.43</v>
      </c>
      <c r="X17" s="18">
        <f t="shared" si="4"/>
        <v>0.18418111956600594</v>
      </c>
      <c r="Y17" s="1"/>
      <c r="Z17" s="1"/>
      <c r="AA17" s="1"/>
    </row>
    <row r="18" spans="1:27" ht="45">
      <c r="A18" s="11" t="s">
        <v>45</v>
      </c>
      <c r="B18" s="12" t="s">
        <v>46</v>
      </c>
      <c r="C18" s="12" t="s">
        <v>47</v>
      </c>
      <c r="D18" s="12" t="s">
        <v>61</v>
      </c>
      <c r="E18" s="12" t="s">
        <v>59</v>
      </c>
      <c r="F18" s="12" t="s">
        <v>62</v>
      </c>
      <c r="G18" s="12" t="s">
        <v>51</v>
      </c>
      <c r="H18" s="12" t="s">
        <v>52</v>
      </c>
      <c r="I18" s="12" t="s">
        <v>53</v>
      </c>
      <c r="J18" s="13">
        <v>3</v>
      </c>
      <c r="K18" s="14">
        <v>50000</v>
      </c>
      <c r="L18" s="15">
        <v>0</v>
      </c>
      <c r="M18" s="15">
        <v>0</v>
      </c>
      <c r="N18" s="16">
        <f t="shared" si="0"/>
        <v>50000</v>
      </c>
      <c r="O18" s="17"/>
      <c r="P18" s="17"/>
      <c r="Q18" s="17"/>
      <c r="R18" s="16">
        <f t="shared" si="1"/>
        <v>50000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 ht="45">
      <c r="A19" s="11" t="s">
        <v>45</v>
      </c>
      <c r="B19" s="12" t="s">
        <v>46</v>
      </c>
      <c r="C19" s="12" t="s">
        <v>47</v>
      </c>
      <c r="D19" s="12" t="s">
        <v>63</v>
      </c>
      <c r="E19" s="12" t="s">
        <v>59</v>
      </c>
      <c r="F19" s="12" t="s">
        <v>64</v>
      </c>
      <c r="G19" s="12" t="s">
        <v>51</v>
      </c>
      <c r="H19" s="12" t="s">
        <v>52</v>
      </c>
      <c r="I19" s="12" t="s">
        <v>53</v>
      </c>
      <c r="J19" s="22">
        <v>1</v>
      </c>
      <c r="K19" s="14">
        <v>134637767</v>
      </c>
      <c r="L19" s="15">
        <v>927845.39</v>
      </c>
      <c r="M19" s="15">
        <v>927845.39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23189272.809999999</v>
      </c>
      <c r="T19" s="18">
        <f t="shared" si="2"/>
        <v>0.17223453215768203</v>
      </c>
      <c r="U19" s="23">
        <v>23189272.809999999</v>
      </c>
      <c r="V19" s="18">
        <f t="shared" si="3"/>
        <v>0.17223453215768203</v>
      </c>
      <c r="W19" s="15">
        <v>19489111.690000001</v>
      </c>
      <c r="X19" s="18">
        <f t="shared" si="4"/>
        <v>0.14475219044593929</v>
      </c>
      <c r="Y19" s="1"/>
      <c r="Z19" s="1"/>
      <c r="AA19" s="1"/>
    </row>
    <row r="20" spans="1:27" ht="45">
      <c r="A20" s="11" t="s">
        <v>45</v>
      </c>
      <c r="B20" s="12" t="s">
        <v>46</v>
      </c>
      <c r="C20" s="12" t="s">
        <v>47</v>
      </c>
      <c r="D20" s="12" t="s">
        <v>65</v>
      </c>
      <c r="E20" s="12" t="s">
        <v>59</v>
      </c>
      <c r="F20" s="12" t="s">
        <v>66</v>
      </c>
      <c r="G20" s="12" t="s">
        <v>51</v>
      </c>
      <c r="H20" s="12" t="s">
        <v>52</v>
      </c>
      <c r="I20" s="12" t="s">
        <v>53</v>
      </c>
      <c r="J20" s="22">
        <v>1</v>
      </c>
      <c r="K20" s="14">
        <v>171339678</v>
      </c>
      <c r="L20" s="15">
        <v>36331.879999999997</v>
      </c>
      <c r="M20" s="15">
        <v>36331.879999999997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26404976.800000001</v>
      </c>
      <c r="T20" s="18">
        <f t="shared" si="2"/>
        <v>0.15410894375557307</v>
      </c>
      <c r="U20" s="23">
        <v>26404976.800000001</v>
      </c>
      <c r="V20" s="18">
        <f t="shared" si="3"/>
        <v>0.15410894375557307</v>
      </c>
      <c r="W20" s="15">
        <v>21800822.82</v>
      </c>
      <c r="X20" s="18">
        <f t="shared" si="4"/>
        <v>0.12723744479080906</v>
      </c>
      <c r="Y20" s="1"/>
      <c r="Z20" s="1"/>
      <c r="AA20" s="1"/>
    </row>
    <row r="21" spans="1:27" ht="45">
      <c r="A21" s="11" t="s">
        <v>45</v>
      </c>
      <c r="B21" s="12" t="s">
        <v>46</v>
      </c>
      <c r="C21" s="12" t="s">
        <v>47</v>
      </c>
      <c r="D21" s="12" t="s">
        <v>67</v>
      </c>
      <c r="E21" s="12" t="s">
        <v>59</v>
      </c>
      <c r="F21" s="12" t="s">
        <v>68</v>
      </c>
      <c r="G21" s="12" t="s">
        <v>51</v>
      </c>
      <c r="H21" s="12" t="s">
        <v>52</v>
      </c>
      <c r="I21" s="12" t="s">
        <v>53</v>
      </c>
      <c r="J21" s="13">
        <v>3</v>
      </c>
      <c r="K21" s="14">
        <v>27383200</v>
      </c>
      <c r="L21" s="15">
        <v>1500</v>
      </c>
      <c r="M21" s="15">
        <v>1500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4738971.2699999996</v>
      </c>
      <c r="T21" s="18">
        <f t="shared" si="2"/>
        <v>0.17306126639691488</v>
      </c>
      <c r="U21" s="19">
        <v>4738971.2699999996</v>
      </c>
      <c r="V21" s="18">
        <f t="shared" si="3"/>
        <v>0.17306126639691488</v>
      </c>
      <c r="W21" s="15">
        <v>4738971.2699999996</v>
      </c>
      <c r="X21" s="18">
        <f t="shared" si="4"/>
        <v>0.17306126639691488</v>
      </c>
      <c r="Y21" s="1"/>
      <c r="Z21" s="1"/>
      <c r="AA21" s="1"/>
    </row>
    <row r="22" spans="1:27" ht="45">
      <c r="A22" s="11" t="s">
        <v>45</v>
      </c>
      <c r="B22" s="12" t="s">
        <v>46</v>
      </c>
      <c r="C22" s="12" t="s">
        <v>69</v>
      </c>
      <c r="D22" s="12" t="s">
        <v>70</v>
      </c>
      <c r="E22" s="12" t="s">
        <v>59</v>
      </c>
      <c r="F22" s="12" t="s">
        <v>71</v>
      </c>
      <c r="G22" s="12" t="s">
        <v>51</v>
      </c>
      <c r="H22" s="12" t="s">
        <v>52</v>
      </c>
      <c r="I22" s="12" t="s">
        <v>53</v>
      </c>
      <c r="J22" s="22">
        <v>1</v>
      </c>
      <c r="K22" s="24">
        <v>367581</v>
      </c>
      <c r="L22" s="15">
        <v>0</v>
      </c>
      <c r="M22" s="15">
        <v>0</v>
      </c>
      <c r="N22" s="16">
        <f t="shared" si="0"/>
        <v>367581</v>
      </c>
      <c r="O22" s="17"/>
      <c r="P22" s="17"/>
      <c r="Q22" s="17"/>
      <c r="R22" s="16">
        <f t="shared" si="1"/>
        <v>367581</v>
      </c>
      <c r="S22" s="14">
        <v>70305</v>
      </c>
      <c r="T22" s="18">
        <f t="shared" si="2"/>
        <v>0.19126396630946649</v>
      </c>
      <c r="U22" s="23">
        <v>70305</v>
      </c>
      <c r="V22" s="18">
        <f t="shared" si="3"/>
        <v>0.19126396630946649</v>
      </c>
      <c r="W22" s="15">
        <v>70305</v>
      </c>
      <c r="X22" s="18">
        <f t="shared" si="4"/>
        <v>0.19126396630946649</v>
      </c>
      <c r="Y22" s="1"/>
      <c r="Z22" s="1"/>
      <c r="AA22" s="1"/>
    </row>
    <row r="23" spans="1:27" ht="45">
      <c r="A23" s="11" t="s">
        <v>45</v>
      </c>
      <c r="B23" s="12" t="s">
        <v>46</v>
      </c>
      <c r="C23" s="12" t="s">
        <v>69</v>
      </c>
      <c r="D23" s="12" t="s">
        <v>72</v>
      </c>
      <c r="E23" s="12" t="s">
        <v>59</v>
      </c>
      <c r="F23" s="12" t="s">
        <v>73</v>
      </c>
      <c r="G23" s="12" t="s">
        <v>51</v>
      </c>
      <c r="H23" s="12" t="s">
        <v>52</v>
      </c>
      <c r="I23" s="12" t="s">
        <v>53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49815</v>
      </c>
      <c r="T23" s="18">
        <f t="shared" si="2"/>
        <v>0.16279411764705881</v>
      </c>
      <c r="U23" s="23">
        <v>49815</v>
      </c>
      <c r="V23" s="18">
        <f t="shared" si="3"/>
        <v>0.16279411764705881</v>
      </c>
      <c r="W23" s="15">
        <v>49815</v>
      </c>
      <c r="X23" s="18">
        <f t="shared" si="4"/>
        <v>0.16279411764705881</v>
      </c>
      <c r="Y23" s="1"/>
      <c r="Z23" s="1"/>
      <c r="AA23" s="1"/>
    </row>
    <row r="24" spans="1:27" ht="36">
      <c r="A24" s="11" t="s">
        <v>45</v>
      </c>
      <c r="B24" s="12" t="s">
        <v>46</v>
      </c>
      <c r="C24" s="12" t="s">
        <v>74</v>
      </c>
      <c r="D24" s="12" t="s">
        <v>75</v>
      </c>
      <c r="E24" s="12" t="s">
        <v>76</v>
      </c>
      <c r="F24" s="12" t="s">
        <v>77</v>
      </c>
      <c r="G24" s="12" t="s">
        <v>78</v>
      </c>
      <c r="H24" s="12" t="s">
        <v>52</v>
      </c>
      <c r="I24" s="12" t="s">
        <v>53</v>
      </c>
      <c r="J24" s="22">
        <v>1</v>
      </c>
      <c r="K24" s="25">
        <f>146328600-K25</f>
        <v>140090700</v>
      </c>
      <c r="L24" s="15">
        <v>8292209.3799999999</v>
      </c>
      <c r="M24" s="15">
        <v>8292209.3799999999</v>
      </c>
      <c r="N24" s="16">
        <f t="shared" si="0"/>
        <v>140090700</v>
      </c>
      <c r="O24" s="17"/>
      <c r="P24" s="17"/>
      <c r="Q24" s="26">
        <f>-3193744.28-4880787.86</f>
        <v>-8074532.1400000006</v>
      </c>
      <c r="R24" s="16">
        <f t="shared" si="1"/>
        <v>132016167.86</v>
      </c>
      <c r="S24" s="27">
        <f>15751572.66-S25</f>
        <v>13804637.970000001</v>
      </c>
      <c r="T24" s="18">
        <f t="shared" si="2"/>
        <v>0.10456778282368785</v>
      </c>
      <c r="U24" s="28">
        <f>15601572.66-U25</f>
        <v>13654637.970000001</v>
      </c>
      <c r="V24" s="18">
        <f t="shared" si="3"/>
        <v>0.10343155835640086</v>
      </c>
      <c r="W24" s="27">
        <f>14169288.55-W25</f>
        <v>12222353.860000001</v>
      </c>
      <c r="X24" s="18">
        <f t="shared" si="4"/>
        <v>9.2582250023811596E-2</v>
      </c>
      <c r="Y24" s="1"/>
      <c r="Z24" s="1"/>
      <c r="AA24" s="1"/>
    </row>
    <row r="25" spans="1:27" ht="36">
      <c r="A25" s="11" t="s">
        <v>45</v>
      </c>
      <c r="B25" s="12" t="s">
        <v>46</v>
      </c>
      <c r="C25" s="12" t="s">
        <v>74</v>
      </c>
      <c r="D25" s="12" t="s">
        <v>75</v>
      </c>
      <c r="E25" s="12" t="s">
        <v>76</v>
      </c>
      <c r="F25" s="12" t="s">
        <v>77</v>
      </c>
      <c r="G25" s="12" t="s">
        <v>78</v>
      </c>
      <c r="H25" s="12" t="s">
        <v>52</v>
      </c>
      <c r="I25" s="12" t="s">
        <v>53</v>
      </c>
      <c r="J25" s="13">
        <v>3</v>
      </c>
      <c r="K25" s="14">
        <v>6237900</v>
      </c>
      <c r="L25" s="15">
        <v>0</v>
      </c>
      <c r="M25" s="15">
        <v>0</v>
      </c>
      <c r="N25" s="16">
        <f t="shared" si="0"/>
        <v>6237900</v>
      </c>
      <c r="O25" s="17"/>
      <c r="P25" s="17"/>
      <c r="Q25" s="17"/>
      <c r="R25" s="16">
        <f t="shared" si="1"/>
        <v>6237900</v>
      </c>
      <c r="S25" s="27">
        <f>52933.7+1894000.99</f>
        <v>1946934.69</v>
      </c>
      <c r="T25" s="18">
        <f t="shared" si="2"/>
        <v>0.3121138027220699</v>
      </c>
      <c r="U25" s="29">
        <f>52933.7+1894000.99</f>
        <v>1946934.69</v>
      </c>
      <c r="V25" s="18">
        <f t="shared" si="3"/>
        <v>0.3121138027220699</v>
      </c>
      <c r="W25" s="27">
        <f>52933.7+1894000.99</f>
        <v>1946934.69</v>
      </c>
      <c r="X25" s="18">
        <f t="shared" si="4"/>
        <v>0.3121138027220699</v>
      </c>
      <c r="Y25" s="1"/>
      <c r="Z25" s="1"/>
      <c r="AA25" s="1"/>
    </row>
    <row r="26" spans="1:27" ht="45">
      <c r="A26" s="11" t="s">
        <v>45</v>
      </c>
      <c r="B26" s="30" t="s">
        <v>46</v>
      </c>
      <c r="C26" s="30" t="s">
        <v>79</v>
      </c>
      <c r="D26" s="30" t="s">
        <v>80</v>
      </c>
      <c r="E26" s="30" t="s">
        <v>81</v>
      </c>
      <c r="F26" s="30" t="s">
        <v>82</v>
      </c>
      <c r="G26" s="30" t="s">
        <v>51</v>
      </c>
      <c r="H26" s="30" t="s">
        <v>52</v>
      </c>
      <c r="I26" s="12" t="s">
        <v>53</v>
      </c>
      <c r="J26" s="22">
        <v>1</v>
      </c>
      <c r="K26" s="15">
        <v>843000</v>
      </c>
      <c r="L26" s="15">
        <v>0</v>
      </c>
      <c r="M26" s="15">
        <v>0</v>
      </c>
      <c r="N26" s="16">
        <f t="shared" si="0"/>
        <v>843000</v>
      </c>
      <c r="O26" s="17"/>
      <c r="P26" s="17"/>
      <c r="Q26" s="17"/>
      <c r="R26" s="16">
        <f t="shared" si="1"/>
        <v>843000</v>
      </c>
      <c r="S26" s="15">
        <v>0</v>
      </c>
      <c r="T26" s="18">
        <f t="shared" si="2"/>
        <v>0</v>
      </c>
      <c r="U26" s="23">
        <v>0</v>
      </c>
      <c r="V26" s="18">
        <f t="shared" si="3"/>
        <v>0</v>
      </c>
      <c r="W26" s="15">
        <v>0</v>
      </c>
      <c r="X26" s="18">
        <f t="shared" si="4"/>
        <v>0</v>
      </c>
      <c r="Y26" s="1"/>
      <c r="Z26" s="1"/>
      <c r="AA26" s="1"/>
    </row>
    <row r="27" spans="1:27" ht="14.25">
      <c r="A27" s="71" t="s">
        <v>83</v>
      </c>
      <c r="B27" s="56"/>
      <c r="C27" s="56"/>
      <c r="D27" s="56"/>
      <c r="E27" s="56"/>
      <c r="F27" s="56"/>
      <c r="G27" s="56"/>
      <c r="H27" s="56"/>
      <c r="I27" s="56"/>
      <c r="J27" s="57"/>
      <c r="K27" s="31">
        <f t="shared" ref="K27:S27" si="5">SUM(K14:K26)</f>
        <v>1099633000</v>
      </c>
      <c r="L27" s="31">
        <f t="shared" si="5"/>
        <v>10702698.210000001</v>
      </c>
      <c r="M27" s="31">
        <f t="shared" si="5"/>
        <v>10702698.210000001</v>
      </c>
      <c r="N27" s="31">
        <f t="shared" si="5"/>
        <v>1099633000</v>
      </c>
      <c r="O27" s="31">
        <f t="shared" si="5"/>
        <v>0</v>
      </c>
      <c r="P27" s="31">
        <f t="shared" si="5"/>
        <v>0</v>
      </c>
      <c r="Q27" s="31">
        <f t="shared" si="5"/>
        <v>-8074532.1400000006</v>
      </c>
      <c r="R27" s="31">
        <f t="shared" si="5"/>
        <v>1091558467.8599999</v>
      </c>
      <c r="S27" s="31">
        <f t="shared" si="5"/>
        <v>173941532.41000003</v>
      </c>
      <c r="T27" s="32">
        <f t="shared" si="2"/>
        <v>0.15935154875488472</v>
      </c>
      <c r="U27" s="31">
        <f>SUM(U14:U26)</f>
        <v>173791532.41000003</v>
      </c>
      <c r="V27" s="32">
        <f t="shared" si="3"/>
        <v>0.15921413055474554</v>
      </c>
      <c r="W27" s="31">
        <f>SUM(W14:W26)</f>
        <v>149682069.44000003</v>
      </c>
      <c r="X27" s="32">
        <f t="shared" si="4"/>
        <v>0.13712693717034846</v>
      </c>
      <c r="Y27" s="1"/>
      <c r="Z27" s="1"/>
      <c r="AA27" s="1"/>
    </row>
    <row r="28" spans="1:27" ht="14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 ht="14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 ht="54">
      <c r="A30" s="11" t="s">
        <v>84</v>
      </c>
      <c r="B30" s="12" t="s">
        <v>85</v>
      </c>
      <c r="C30" s="12" t="s">
        <v>47</v>
      </c>
      <c r="D30" s="12" t="s">
        <v>86</v>
      </c>
      <c r="E30" s="12" t="s">
        <v>49</v>
      </c>
      <c r="F30" s="12" t="s">
        <v>87</v>
      </c>
      <c r="G30" s="12" t="s">
        <v>51</v>
      </c>
      <c r="H30" s="12" t="s">
        <v>88</v>
      </c>
      <c r="I30" s="12" t="s">
        <v>89</v>
      </c>
      <c r="J30" s="39">
        <v>4</v>
      </c>
      <c r="K30" s="24">
        <v>5240500</v>
      </c>
      <c r="L30" s="15">
        <v>0</v>
      </c>
      <c r="M30" s="15">
        <v>4437839.54</v>
      </c>
      <c r="N30" s="16">
        <f t="shared" ref="N30:N52" si="6">K30+L30-M30</f>
        <v>802660.46</v>
      </c>
      <c r="O30" s="17"/>
      <c r="P30" s="17"/>
      <c r="Q30" s="17"/>
      <c r="R30" s="16">
        <f t="shared" ref="R30:R52" si="7">N30-O30+P30+Q30</f>
        <v>802660.46</v>
      </c>
      <c r="S30" s="40">
        <v>0</v>
      </c>
      <c r="T30" s="18">
        <f t="shared" ref="T30:T54" si="8">IF(R30&gt;0,S30/R30,0)</f>
        <v>0</v>
      </c>
      <c r="U30" s="41">
        <v>0</v>
      </c>
      <c r="V30" s="18">
        <f t="shared" ref="V30:V54" si="9">IF(R30&gt;0,U30/R30,0)</f>
        <v>0</v>
      </c>
      <c r="W30" s="15">
        <v>0</v>
      </c>
      <c r="X30" s="18">
        <f t="shared" ref="X30:X54" si="10">IF(R30&gt;0,W30/R30,0)</f>
        <v>0</v>
      </c>
      <c r="Y30" s="1"/>
      <c r="Z30" s="1"/>
      <c r="AA30" s="1"/>
    </row>
    <row r="31" spans="1:27" ht="54">
      <c r="A31" s="11" t="s">
        <v>84</v>
      </c>
      <c r="B31" s="12" t="s">
        <v>85</v>
      </c>
      <c r="C31" s="12" t="s">
        <v>47</v>
      </c>
      <c r="D31" s="12" t="s">
        <v>90</v>
      </c>
      <c r="E31" s="12" t="s">
        <v>49</v>
      </c>
      <c r="F31" s="12" t="s">
        <v>87</v>
      </c>
      <c r="G31" s="12" t="s">
        <v>51</v>
      </c>
      <c r="H31" s="12" t="s">
        <v>88</v>
      </c>
      <c r="I31" s="12" t="s">
        <v>89</v>
      </c>
      <c r="J31" s="39">
        <v>4</v>
      </c>
      <c r="K31" s="24">
        <v>0</v>
      </c>
      <c r="L31" s="15">
        <v>320208.37</v>
      </c>
      <c r="M31" s="15">
        <v>0</v>
      </c>
      <c r="N31" s="16">
        <f t="shared" si="6"/>
        <v>320208.37</v>
      </c>
      <c r="O31" s="17"/>
      <c r="P31" s="17"/>
      <c r="Q31" s="17"/>
      <c r="R31" s="16">
        <f t="shared" si="7"/>
        <v>320208.37</v>
      </c>
      <c r="S31" s="40">
        <v>320208.37</v>
      </c>
      <c r="T31" s="18">
        <f t="shared" si="8"/>
        <v>1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 ht="54">
      <c r="A32" s="11" t="s">
        <v>84</v>
      </c>
      <c r="B32" s="12" t="s">
        <v>85</v>
      </c>
      <c r="C32" s="12" t="s">
        <v>47</v>
      </c>
      <c r="D32" s="12" t="s">
        <v>91</v>
      </c>
      <c r="E32" s="12" t="s">
        <v>49</v>
      </c>
      <c r="F32" s="12" t="s">
        <v>87</v>
      </c>
      <c r="G32" s="12" t="s">
        <v>51</v>
      </c>
      <c r="H32" s="12" t="s">
        <v>88</v>
      </c>
      <c r="I32" s="12" t="s">
        <v>89</v>
      </c>
      <c r="J32" s="39">
        <v>4</v>
      </c>
      <c r="K32" s="24">
        <v>0</v>
      </c>
      <c r="L32" s="15">
        <v>341838.54</v>
      </c>
      <c r="M32" s="15">
        <v>0</v>
      </c>
      <c r="N32" s="16">
        <f t="shared" si="6"/>
        <v>341838.54</v>
      </c>
      <c r="O32" s="17"/>
      <c r="P32" s="17"/>
      <c r="Q32" s="17"/>
      <c r="R32" s="16">
        <f t="shared" si="7"/>
        <v>341838.54</v>
      </c>
      <c r="S32" s="40">
        <v>341838.54</v>
      </c>
      <c r="T32" s="18">
        <f t="shared" si="8"/>
        <v>1</v>
      </c>
      <c r="U32" s="41">
        <v>0</v>
      </c>
      <c r="V32" s="18">
        <f t="shared" si="9"/>
        <v>0</v>
      </c>
      <c r="W32" s="15">
        <v>0</v>
      </c>
      <c r="X32" s="18">
        <f t="shared" si="10"/>
        <v>0</v>
      </c>
      <c r="Y32" s="1"/>
      <c r="Z32" s="1"/>
      <c r="AA32" s="1"/>
    </row>
    <row r="33" spans="1:27" ht="54">
      <c r="A33" s="11" t="s">
        <v>84</v>
      </c>
      <c r="B33" s="12" t="s">
        <v>85</v>
      </c>
      <c r="C33" s="12" t="s">
        <v>47</v>
      </c>
      <c r="D33" s="12" t="s">
        <v>92</v>
      </c>
      <c r="E33" s="12" t="s">
        <v>49</v>
      </c>
      <c r="F33" s="12" t="s">
        <v>87</v>
      </c>
      <c r="G33" s="12" t="s">
        <v>51</v>
      </c>
      <c r="H33" s="12" t="s">
        <v>88</v>
      </c>
      <c r="I33" s="12" t="s">
        <v>89</v>
      </c>
      <c r="J33" s="39">
        <v>4</v>
      </c>
      <c r="K33" s="24">
        <v>0</v>
      </c>
      <c r="L33" s="15">
        <v>13387263.5</v>
      </c>
      <c r="M33" s="15">
        <v>0</v>
      </c>
      <c r="N33" s="16">
        <f t="shared" si="6"/>
        <v>13387263.5</v>
      </c>
      <c r="O33" s="17"/>
      <c r="P33" s="17"/>
      <c r="Q33" s="17"/>
      <c r="R33" s="16">
        <f t="shared" si="7"/>
        <v>13387263.5</v>
      </c>
      <c r="S33" s="40">
        <v>11305260.539999999</v>
      </c>
      <c r="T33" s="18">
        <f t="shared" si="8"/>
        <v>0.84447882421975184</v>
      </c>
      <c r="U33" s="41">
        <v>0</v>
      </c>
      <c r="V33" s="18">
        <f t="shared" si="9"/>
        <v>0</v>
      </c>
      <c r="W33" s="15">
        <v>0</v>
      </c>
      <c r="X33" s="18">
        <f t="shared" si="10"/>
        <v>0</v>
      </c>
      <c r="Y33" s="1"/>
      <c r="Z33" s="1"/>
      <c r="AA33" s="1"/>
    </row>
    <row r="34" spans="1:27" ht="45">
      <c r="A34" s="11" t="s">
        <v>84</v>
      </c>
      <c r="B34" s="12" t="s">
        <v>85</v>
      </c>
      <c r="C34" s="12" t="s">
        <v>47</v>
      </c>
      <c r="D34" s="12" t="s">
        <v>93</v>
      </c>
      <c r="E34" s="12" t="s">
        <v>49</v>
      </c>
      <c r="F34" s="12" t="s">
        <v>94</v>
      </c>
      <c r="G34" s="12" t="s">
        <v>51</v>
      </c>
      <c r="H34" s="12" t="s">
        <v>88</v>
      </c>
      <c r="I34" s="12" t="s">
        <v>89</v>
      </c>
      <c r="J34" s="39">
        <v>4</v>
      </c>
      <c r="K34" s="24">
        <v>1379400</v>
      </c>
      <c r="L34" s="15">
        <v>0</v>
      </c>
      <c r="M34" s="15">
        <v>0</v>
      </c>
      <c r="N34" s="16">
        <f t="shared" si="6"/>
        <v>1379400</v>
      </c>
      <c r="O34" s="17"/>
      <c r="P34" s="17"/>
      <c r="Q34" s="17"/>
      <c r="R34" s="16">
        <f t="shared" si="7"/>
        <v>1379400</v>
      </c>
      <c r="S34" s="40">
        <v>0</v>
      </c>
      <c r="T34" s="18">
        <f t="shared" si="8"/>
        <v>0</v>
      </c>
      <c r="U34" s="41">
        <v>0</v>
      </c>
      <c r="V34" s="18">
        <f t="shared" si="9"/>
        <v>0</v>
      </c>
      <c r="W34" s="15">
        <v>0</v>
      </c>
      <c r="X34" s="18">
        <f t="shared" si="10"/>
        <v>0</v>
      </c>
      <c r="Y34" s="1"/>
      <c r="Z34" s="1"/>
      <c r="AA34" s="1"/>
    </row>
    <row r="35" spans="1:27" ht="45">
      <c r="A35" s="11" t="s">
        <v>84</v>
      </c>
      <c r="B35" s="12" t="s">
        <v>85</v>
      </c>
      <c r="C35" s="12" t="s">
        <v>47</v>
      </c>
      <c r="D35" s="12" t="s">
        <v>48</v>
      </c>
      <c r="E35" s="12" t="s">
        <v>49</v>
      </c>
      <c r="F35" s="12" t="s">
        <v>95</v>
      </c>
      <c r="G35" s="12" t="s">
        <v>51</v>
      </c>
      <c r="H35" s="12" t="s">
        <v>88</v>
      </c>
      <c r="I35" s="12" t="s">
        <v>89</v>
      </c>
      <c r="J35" s="13">
        <v>3</v>
      </c>
      <c r="K35" s="42">
        <f>162737000-K36</f>
        <v>160337000</v>
      </c>
      <c r="L35" s="15">
        <f>658117.73-L36</f>
        <v>606138.53</v>
      </c>
      <c r="M35" s="15">
        <f>19617833.81-M36</f>
        <v>19565854.609999999</v>
      </c>
      <c r="N35" s="16">
        <f t="shared" si="6"/>
        <v>141377283.92000002</v>
      </c>
      <c r="O35" s="17"/>
      <c r="P35" s="17"/>
      <c r="Q35" s="17"/>
      <c r="R35" s="16">
        <f t="shared" si="7"/>
        <v>141377283.92000002</v>
      </c>
      <c r="S35" s="42">
        <f>60866225.18-S36</f>
        <v>59142131.810000002</v>
      </c>
      <c r="T35" s="18">
        <f t="shared" si="8"/>
        <v>0.41832839173417891</v>
      </c>
      <c r="U35" s="19">
        <f>5931241.89-U36</f>
        <v>5879262.6899999995</v>
      </c>
      <c r="V35" s="18">
        <f t="shared" si="9"/>
        <v>4.1585624840033343E-2</v>
      </c>
      <c r="W35" s="15">
        <f>5648843.16-W36</f>
        <v>5596863.96</v>
      </c>
      <c r="X35" s="18">
        <f t="shared" si="10"/>
        <v>3.9588141777904366E-2</v>
      </c>
      <c r="Y35" s="1"/>
      <c r="Z35" s="1"/>
      <c r="AA35" s="1"/>
    </row>
    <row r="36" spans="1:27" ht="45">
      <c r="A36" s="11" t="s">
        <v>84</v>
      </c>
      <c r="B36" s="12" t="s">
        <v>85</v>
      </c>
      <c r="C36" s="12" t="s">
        <v>47</v>
      </c>
      <c r="D36" s="12" t="s">
        <v>48</v>
      </c>
      <c r="E36" s="12" t="s">
        <v>49</v>
      </c>
      <c r="F36" s="12" t="s">
        <v>95</v>
      </c>
      <c r="G36" s="12" t="s">
        <v>51</v>
      </c>
      <c r="H36" s="12" t="s">
        <v>88</v>
      </c>
      <c r="I36" s="12" t="s">
        <v>89</v>
      </c>
      <c r="J36" s="39">
        <v>4</v>
      </c>
      <c r="K36" s="24">
        <v>2400000</v>
      </c>
      <c r="L36" s="15">
        <v>51979.199999999997</v>
      </c>
      <c r="M36" s="15">
        <v>51979.199999999997</v>
      </c>
      <c r="N36" s="16">
        <f t="shared" si="6"/>
        <v>2400000</v>
      </c>
      <c r="O36" s="17"/>
      <c r="P36" s="17"/>
      <c r="Q36" s="17"/>
      <c r="R36" s="16">
        <f t="shared" si="7"/>
        <v>2400000</v>
      </c>
      <c r="S36" s="27">
        <f>1529230.94+8360+134523.23+51979.2</f>
        <v>1724093.3699999999</v>
      </c>
      <c r="T36" s="18">
        <f t="shared" si="8"/>
        <v>0.7183722374999999</v>
      </c>
      <c r="U36" s="41">
        <v>51979.199999999997</v>
      </c>
      <c r="V36" s="18">
        <f t="shared" si="9"/>
        <v>2.1658E-2</v>
      </c>
      <c r="W36" s="15">
        <v>51979.199999999997</v>
      </c>
      <c r="X36" s="18">
        <f t="shared" si="10"/>
        <v>2.1658E-2</v>
      </c>
      <c r="Y36" s="1"/>
      <c r="Z36" s="1"/>
      <c r="AA36" s="1"/>
    </row>
    <row r="37" spans="1:27" ht="45">
      <c r="A37" s="11" t="s">
        <v>84</v>
      </c>
      <c r="B37" s="12" t="s">
        <v>85</v>
      </c>
      <c r="C37" s="12" t="s">
        <v>47</v>
      </c>
      <c r="D37" s="12" t="s">
        <v>54</v>
      </c>
      <c r="E37" s="12" t="s">
        <v>49</v>
      </c>
      <c r="F37" s="12" t="s">
        <v>96</v>
      </c>
      <c r="G37" s="12" t="s">
        <v>51</v>
      </c>
      <c r="H37" s="12" t="s">
        <v>88</v>
      </c>
      <c r="I37" s="12" t="s">
        <v>89</v>
      </c>
      <c r="J37" s="13">
        <v>3</v>
      </c>
      <c r="K37" s="24">
        <v>100000</v>
      </c>
      <c r="L37" s="14">
        <v>0</v>
      </c>
      <c r="M37" s="14">
        <v>0</v>
      </c>
      <c r="N37" s="43">
        <f t="shared" si="6"/>
        <v>100000</v>
      </c>
      <c r="O37" s="44"/>
      <c r="P37" s="44"/>
      <c r="Q37" s="44"/>
      <c r="R37" s="43">
        <f t="shared" si="7"/>
        <v>100000</v>
      </c>
      <c r="S37" s="14">
        <v>0</v>
      </c>
      <c r="T37" s="45">
        <f t="shared" si="8"/>
        <v>0</v>
      </c>
      <c r="U37" s="19">
        <v>0</v>
      </c>
      <c r="V37" s="45">
        <f t="shared" si="9"/>
        <v>0</v>
      </c>
      <c r="W37" s="14">
        <v>0</v>
      </c>
      <c r="X37" s="45">
        <f t="shared" si="10"/>
        <v>0</v>
      </c>
      <c r="Y37" s="1"/>
      <c r="Z37" s="1"/>
      <c r="AA37" s="1"/>
    </row>
    <row r="38" spans="1:27" ht="54">
      <c r="A38" s="11" t="s">
        <v>84</v>
      </c>
      <c r="B38" s="12" t="s">
        <v>85</v>
      </c>
      <c r="C38" s="12" t="s">
        <v>47</v>
      </c>
      <c r="D38" s="12" t="s">
        <v>97</v>
      </c>
      <c r="E38" s="12" t="s">
        <v>59</v>
      </c>
      <c r="F38" s="12" t="s">
        <v>98</v>
      </c>
      <c r="G38" s="12" t="s">
        <v>51</v>
      </c>
      <c r="H38" s="12" t="s">
        <v>88</v>
      </c>
      <c r="I38" s="12" t="s">
        <v>89</v>
      </c>
      <c r="J38" s="39">
        <v>4</v>
      </c>
      <c r="K38" s="24">
        <v>1000000</v>
      </c>
      <c r="L38" s="14">
        <v>0</v>
      </c>
      <c r="M38" s="14">
        <v>1000000</v>
      </c>
      <c r="N38" s="43">
        <f t="shared" si="6"/>
        <v>0</v>
      </c>
      <c r="O38" s="44"/>
      <c r="P38" s="44"/>
      <c r="Q38" s="44"/>
      <c r="R38" s="43">
        <f t="shared" si="7"/>
        <v>0</v>
      </c>
      <c r="S38" s="40">
        <v>0</v>
      </c>
      <c r="T38" s="45">
        <f t="shared" si="8"/>
        <v>0</v>
      </c>
      <c r="U38" s="41">
        <v>0</v>
      </c>
      <c r="V38" s="45">
        <f t="shared" si="9"/>
        <v>0</v>
      </c>
      <c r="W38" s="14">
        <v>0</v>
      </c>
      <c r="X38" s="45">
        <f t="shared" si="10"/>
        <v>0</v>
      </c>
      <c r="Y38" s="1"/>
      <c r="Z38" s="1"/>
      <c r="AA38" s="1"/>
    </row>
    <row r="39" spans="1:27" ht="54">
      <c r="A39" s="11" t="s">
        <v>84</v>
      </c>
      <c r="B39" s="12" t="s">
        <v>85</v>
      </c>
      <c r="C39" s="12" t="s">
        <v>47</v>
      </c>
      <c r="D39" s="12" t="s">
        <v>99</v>
      </c>
      <c r="E39" s="12" t="s">
        <v>59</v>
      </c>
      <c r="F39" s="12" t="s">
        <v>98</v>
      </c>
      <c r="G39" s="12" t="s">
        <v>51</v>
      </c>
      <c r="H39" s="12" t="s">
        <v>88</v>
      </c>
      <c r="I39" s="12" t="s">
        <v>89</v>
      </c>
      <c r="J39" s="39">
        <v>4</v>
      </c>
      <c r="K39" s="24">
        <v>0</v>
      </c>
      <c r="L39" s="14">
        <v>7518420.21</v>
      </c>
      <c r="M39" s="14">
        <v>0</v>
      </c>
      <c r="N39" s="43">
        <f t="shared" si="6"/>
        <v>7518420.21</v>
      </c>
      <c r="O39" s="44"/>
      <c r="P39" s="44"/>
      <c r="Q39" s="44"/>
      <c r="R39" s="43">
        <f t="shared" si="7"/>
        <v>7518420.21</v>
      </c>
      <c r="S39" s="40">
        <v>3674822.57</v>
      </c>
      <c r="T39" s="45">
        <f t="shared" si="8"/>
        <v>0.48877589538188365</v>
      </c>
      <c r="U39" s="41">
        <v>0</v>
      </c>
      <c r="V39" s="45">
        <f t="shared" si="9"/>
        <v>0</v>
      </c>
      <c r="W39" s="14">
        <v>0</v>
      </c>
      <c r="X39" s="45">
        <f t="shared" si="10"/>
        <v>0</v>
      </c>
      <c r="Y39" s="1"/>
      <c r="Z39" s="1"/>
      <c r="AA39" s="1"/>
    </row>
    <row r="40" spans="1:27" ht="45">
      <c r="A40" s="11" t="s">
        <v>84</v>
      </c>
      <c r="B40" s="12" t="s">
        <v>85</v>
      </c>
      <c r="C40" s="12" t="s">
        <v>47</v>
      </c>
      <c r="D40" s="12" t="s">
        <v>100</v>
      </c>
      <c r="E40" s="12" t="s">
        <v>59</v>
      </c>
      <c r="F40" s="12" t="s">
        <v>101</v>
      </c>
      <c r="G40" s="12" t="s">
        <v>51</v>
      </c>
      <c r="H40" s="12" t="s">
        <v>88</v>
      </c>
      <c r="I40" s="12" t="s">
        <v>89</v>
      </c>
      <c r="J40" s="39">
        <v>4</v>
      </c>
      <c r="K40" s="24">
        <v>120600</v>
      </c>
      <c r="L40" s="14">
        <v>0</v>
      </c>
      <c r="M40" s="14">
        <v>0</v>
      </c>
      <c r="N40" s="43">
        <f t="shared" si="6"/>
        <v>120600</v>
      </c>
      <c r="O40" s="44"/>
      <c r="P40" s="44"/>
      <c r="Q40" s="44"/>
      <c r="R40" s="43">
        <f t="shared" si="7"/>
        <v>120600</v>
      </c>
      <c r="S40" s="40">
        <v>0</v>
      </c>
      <c r="T40" s="45">
        <f t="shared" si="8"/>
        <v>0</v>
      </c>
      <c r="U40" s="41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 ht="45">
      <c r="A41" s="11" t="s">
        <v>84</v>
      </c>
      <c r="B41" s="12" t="s">
        <v>85</v>
      </c>
      <c r="C41" s="12" t="s">
        <v>47</v>
      </c>
      <c r="D41" s="12" t="s">
        <v>102</v>
      </c>
      <c r="E41" s="12" t="s">
        <v>59</v>
      </c>
      <c r="F41" s="12" t="s">
        <v>103</v>
      </c>
      <c r="G41" s="12" t="s">
        <v>51</v>
      </c>
      <c r="H41" s="12" t="s">
        <v>88</v>
      </c>
      <c r="I41" s="12" t="s">
        <v>89</v>
      </c>
      <c r="J41" s="13">
        <v>3</v>
      </c>
      <c r="K41" s="24">
        <v>500000</v>
      </c>
      <c r="L41" s="14">
        <v>470000</v>
      </c>
      <c r="M41" s="14">
        <v>0</v>
      </c>
      <c r="N41" s="43">
        <f t="shared" si="6"/>
        <v>970000</v>
      </c>
      <c r="O41" s="44"/>
      <c r="P41" s="44"/>
      <c r="Q41" s="44"/>
      <c r="R41" s="43">
        <f t="shared" si="7"/>
        <v>970000</v>
      </c>
      <c r="S41" s="40">
        <v>970000</v>
      </c>
      <c r="T41" s="45">
        <f t="shared" si="8"/>
        <v>1</v>
      </c>
      <c r="U41" s="46">
        <v>0</v>
      </c>
      <c r="V41" s="45">
        <f t="shared" si="9"/>
        <v>0</v>
      </c>
      <c r="W41" s="14">
        <v>0</v>
      </c>
      <c r="X41" s="45">
        <f t="shared" si="10"/>
        <v>0</v>
      </c>
      <c r="Y41" s="1"/>
      <c r="Z41" s="1"/>
      <c r="AA41" s="1"/>
    </row>
    <row r="42" spans="1:27" ht="45">
      <c r="A42" s="11" t="s">
        <v>84</v>
      </c>
      <c r="B42" s="12" t="s">
        <v>85</v>
      </c>
      <c r="C42" s="12" t="s">
        <v>47</v>
      </c>
      <c r="D42" s="12" t="s">
        <v>58</v>
      </c>
      <c r="E42" s="12" t="s">
        <v>59</v>
      </c>
      <c r="F42" s="12" t="s">
        <v>60</v>
      </c>
      <c r="G42" s="12" t="s">
        <v>51</v>
      </c>
      <c r="H42" s="12" t="s">
        <v>88</v>
      </c>
      <c r="I42" s="12" t="s">
        <v>89</v>
      </c>
      <c r="J42" s="13">
        <v>3</v>
      </c>
      <c r="K42" s="24">
        <v>50000</v>
      </c>
      <c r="L42" s="15">
        <v>0</v>
      </c>
      <c r="M42" s="15">
        <v>0</v>
      </c>
      <c r="N42" s="16">
        <f t="shared" si="6"/>
        <v>50000</v>
      </c>
      <c r="O42" s="17"/>
      <c r="P42" s="17"/>
      <c r="Q42" s="17"/>
      <c r="R42" s="16">
        <f t="shared" si="7"/>
        <v>50000</v>
      </c>
      <c r="S42" s="40">
        <v>0</v>
      </c>
      <c r="T42" s="18">
        <f t="shared" si="8"/>
        <v>0</v>
      </c>
      <c r="U42" s="19">
        <v>0</v>
      </c>
      <c r="V42" s="18">
        <f t="shared" si="9"/>
        <v>0</v>
      </c>
      <c r="W42" s="15">
        <v>0</v>
      </c>
      <c r="X42" s="18">
        <f t="shared" si="10"/>
        <v>0</v>
      </c>
      <c r="Y42" s="1"/>
      <c r="Z42" s="1"/>
      <c r="AA42" s="1"/>
    </row>
    <row r="43" spans="1:27" ht="45">
      <c r="A43" s="11" t="s">
        <v>84</v>
      </c>
      <c r="B43" s="12" t="s">
        <v>85</v>
      </c>
      <c r="C43" s="12" t="s">
        <v>47</v>
      </c>
      <c r="D43" s="12" t="s">
        <v>61</v>
      </c>
      <c r="E43" s="12" t="s">
        <v>59</v>
      </c>
      <c r="F43" s="12" t="s">
        <v>62</v>
      </c>
      <c r="G43" s="12" t="s">
        <v>51</v>
      </c>
      <c r="H43" s="12" t="s">
        <v>88</v>
      </c>
      <c r="I43" s="12" t="s">
        <v>89</v>
      </c>
      <c r="J43" s="13">
        <v>3</v>
      </c>
      <c r="K43" s="42">
        <f>54121000-K44</f>
        <v>53911000</v>
      </c>
      <c r="L43" s="15">
        <v>0</v>
      </c>
      <c r="M43" s="15">
        <v>0</v>
      </c>
      <c r="N43" s="16">
        <f t="shared" si="6"/>
        <v>53911000</v>
      </c>
      <c r="O43" s="17"/>
      <c r="P43" s="17"/>
      <c r="Q43" s="17"/>
      <c r="R43" s="16">
        <f t="shared" si="7"/>
        <v>53911000</v>
      </c>
      <c r="S43" s="15">
        <v>22228251.57</v>
      </c>
      <c r="T43" s="18">
        <f t="shared" si="8"/>
        <v>0.41231384262951903</v>
      </c>
      <c r="U43" s="19">
        <v>5021978.66</v>
      </c>
      <c r="V43" s="18">
        <f t="shared" si="9"/>
        <v>9.3153134981729155E-2</v>
      </c>
      <c r="W43" s="15">
        <v>4354477.2</v>
      </c>
      <c r="X43" s="18">
        <f t="shared" si="10"/>
        <v>8.0771590213500027E-2</v>
      </c>
      <c r="Y43" s="1"/>
      <c r="Z43" s="1"/>
      <c r="AA43" s="1"/>
    </row>
    <row r="44" spans="1:27" ht="45">
      <c r="A44" s="11" t="s">
        <v>84</v>
      </c>
      <c r="B44" s="12" t="s">
        <v>85</v>
      </c>
      <c r="C44" s="12" t="s">
        <v>47</v>
      </c>
      <c r="D44" s="12" t="s">
        <v>61</v>
      </c>
      <c r="E44" s="12" t="s">
        <v>59</v>
      </c>
      <c r="F44" s="12" t="s">
        <v>62</v>
      </c>
      <c r="G44" s="12" t="s">
        <v>51</v>
      </c>
      <c r="H44" s="12" t="s">
        <v>88</v>
      </c>
      <c r="I44" s="12" t="s">
        <v>89</v>
      </c>
      <c r="J44" s="39">
        <v>4</v>
      </c>
      <c r="K44" s="24">
        <v>210000</v>
      </c>
      <c r="L44" s="15">
        <v>0</v>
      </c>
      <c r="M44" s="15">
        <v>0</v>
      </c>
      <c r="N44" s="16">
        <f t="shared" si="6"/>
        <v>210000</v>
      </c>
      <c r="O44" s="17"/>
      <c r="P44" s="17"/>
      <c r="Q44" s="17"/>
      <c r="R44" s="16">
        <f t="shared" si="7"/>
        <v>210000</v>
      </c>
      <c r="S44" s="15">
        <v>0</v>
      </c>
      <c r="T44" s="18">
        <f t="shared" si="8"/>
        <v>0</v>
      </c>
      <c r="U44" s="41">
        <v>0</v>
      </c>
      <c r="V44" s="18">
        <f t="shared" si="9"/>
        <v>0</v>
      </c>
      <c r="W44" s="15">
        <v>0</v>
      </c>
      <c r="X44" s="18">
        <f t="shared" si="10"/>
        <v>0</v>
      </c>
      <c r="Y44" s="1"/>
      <c r="Z44" s="1"/>
      <c r="AA44" s="1"/>
    </row>
    <row r="45" spans="1:27" ht="45">
      <c r="A45" s="11" t="s">
        <v>84</v>
      </c>
      <c r="B45" s="30" t="s">
        <v>85</v>
      </c>
      <c r="C45" s="30" t="s">
        <v>47</v>
      </c>
      <c r="D45" s="30" t="s">
        <v>104</v>
      </c>
      <c r="E45" s="12" t="s">
        <v>59</v>
      </c>
      <c r="F45" s="30" t="s">
        <v>105</v>
      </c>
      <c r="G45" s="30" t="s">
        <v>51</v>
      </c>
      <c r="H45" s="30" t="s">
        <v>88</v>
      </c>
      <c r="I45" s="12" t="s">
        <v>89</v>
      </c>
      <c r="J45" s="13">
        <v>3</v>
      </c>
      <c r="K45" s="24">
        <v>960000</v>
      </c>
      <c r="L45" s="15">
        <v>0</v>
      </c>
      <c r="M45" s="15">
        <v>0</v>
      </c>
      <c r="N45" s="16">
        <f t="shared" si="6"/>
        <v>960000</v>
      </c>
      <c r="O45" s="17"/>
      <c r="P45" s="17"/>
      <c r="Q45" s="17"/>
      <c r="R45" s="16">
        <f t="shared" si="7"/>
        <v>960000</v>
      </c>
      <c r="S45" s="14">
        <v>19821.11</v>
      </c>
      <c r="T45" s="18">
        <f t="shared" si="8"/>
        <v>2.0646989583333334E-2</v>
      </c>
      <c r="U45" s="19">
        <v>19821.11</v>
      </c>
      <c r="V45" s="18">
        <f t="shared" si="9"/>
        <v>2.0646989583333334E-2</v>
      </c>
      <c r="W45" s="15">
        <v>19821.11</v>
      </c>
      <c r="X45" s="18">
        <f t="shared" si="10"/>
        <v>2.0646989583333334E-2</v>
      </c>
      <c r="Y45" s="1"/>
      <c r="Z45" s="1"/>
      <c r="AA45" s="1"/>
    </row>
    <row r="46" spans="1:27" ht="45">
      <c r="A46" s="11" t="s">
        <v>84</v>
      </c>
      <c r="B46" s="30" t="s">
        <v>85</v>
      </c>
      <c r="C46" s="30" t="s">
        <v>47</v>
      </c>
      <c r="D46" s="30" t="s">
        <v>67</v>
      </c>
      <c r="E46" s="12" t="s">
        <v>59</v>
      </c>
      <c r="F46" s="30" t="s">
        <v>68</v>
      </c>
      <c r="G46" s="30" t="s">
        <v>51</v>
      </c>
      <c r="H46" s="30" t="s">
        <v>88</v>
      </c>
      <c r="I46" s="12" t="s">
        <v>89</v>
      </c>
      <c r="J46" s="13">
        <v>3</v>
      </c>
      <c r="K46" s="24">
        <v>50000</v>
      </c>
      <c r="L46" s="15">
        <v>0</v>
      </c>
      <c r="M46" s="15">
        <v>0</v>
      </c>
      <c r="N46" s="16">
        <f t="shared" si="6"/>
        <v>50000</v>
      </c>
      <c r="O46" s="17"/>
      <c r="P46" s="17"/>
      <c r="Q46" s="17"/>
      <c r="R46" s="16">
        <f t="shared" si="7"/>
        <v>50000</v>
      </c>
      <c r="S46" s="14">
        <v>0</v>
      </c>
      <c r="T46" s="18">
        <f t="shared" si="8"/>
        <v>0</v>
      </c>
      <c r="U46" s="19">
        <v>0</v>
      </c>
      <c r="V46" s="18">
        <f t="shared" si="9"/>
        <v>0</v>
      </c>
      <c r="W46" s="15">
        <v>0</v>
      </c>
      <c r="X46" s="18">
        <f t="shared" si="10"/>
        <v>0</v>
      </c>
      <c r="Y46" s="1"/>
      <c r="Z46" s="1"/>
      <c r="AA46" s="1"/>
    </row>
    <row r="47" spans="1:27" ht="54">
      <c r="A47" s="11" t="s">
        <v>84</v>
      </c>
      <c r="B47" s="12" t="s">
        <v>85</v>
      </c>
      <c r="C47" s="12" t="s">
        <v>106</v>
      </c>
      <c r="D47" s="12" t="s">
        <v>107</v>
      </c>
      <c r="E47" s="12" t="s">
        <v>49</v>
      </c>
      <c r="F47" s="12" t="s">
        <v>108</v>
      </c>
      <c r="G47" s="12" t="s">
        <v>51</v>
      </c>
      <c r="H47" s="12" t="s">
        <v>88</v>
      </c>
      <c r="I47" s="12" t="s">
        <v>89</v>
      </c>
      <c r="J47" s="13">
        <v>3</v>
      </c>
      <c r="K47" s="42">
        <f>27694385-K48</f>
        <v>18636785</v>
      </c>
      <c r="L47" s="14">
        <f>6504786-L48</f>
        <v>4144961</v>
      </c>
      <c r="M47" s="14">
        <v>0</v>
      </c>
      <c r="N47" s="43">
        <f t="shared" si="6"/>
        <v>22781746</v>
      </c>
      <c r="O47" s="44"/>
      <c r="P47" s="44"/>
      <c r="Q47" s="44"/>
      <c r="R47" s="43">
        <f t="shared" si="7"/>
        <v>22781746</v>
      </c>
      <c r="S47" s="25">
        <f>31450349.31-S48</f>
        <v>20208825.309999999</v>
      </c>
      <c r="T47" s="45">
        <f t="shared" si="8"/>
        <v>0.88706218171337692</v>
      </c>
      <c r="U47" s="19">
        <f>485634.91-U48</f>
        <v>456849.31</v>
      </c>
      <c r="V47" s="45">
        <f t="shared" si="9"/>
        <v>2.0053305396346706E-2</v>
      </c>
      <c r="W47" s="14">
        <f>485634.91-W48</f>
        <v>456849.31</v>
      </c>
      <c r="X47" s="45">
        <f t="shared" si="10"/>
        <v>2.0053305396346706E-2</v>
      </c>
      <c r="Y47" s="1"/>
      <c r="Z47" s="1"/>
      <c r="AA47" s="1"/>
    </row>
    <row r="48" spans="1:27" ht="54">
      <c r="A48" s="11" t="s">
        <v>84</v>
      </c>
      <c r="B48" s="30" t="s">
        <v>85</v>
      </c>
      <c r="C48" s="30" t="s">
        <v>106</v>
      </c>
      <c r="D48" s="30" t="s">
        <v>107</v>
      </c>
      <c r="E48" s="12" t="s">
        <v>49</v>
      </c>
      <c r="F48" s="12" t="s">
        <v>108</v>
      </c>
      <c r="G48" s="30" t="s">
        <v>51</v>
      </c>
      <c r="H48" s="30" t="s">
        <v>88</v>
      </c>
      <c r="I48" s="12" t="s">
        <v>89</v>
      </c>
      <c r="J48" s="39">
        <v>4</v>
      </c>
      <c r="K48" s="42">
        <f>4997500+4060100</f>
        <v>9057600</v>
      </c>
      <c r="L48" s="15">
        <f>2359825</f>
        <v>2359825</v>
      </c>
      <c r="M48" s="14">
        <v>0</v>
      </c>
      <c r="N48" s="16">
        <f t="shared" si="6"/>
        <v>11417425</v>
      </c>
      <c r="O48" s="17"/>
      <c r="P48" s="17"/>
      <c r="Q48" s="17"/>
      <c r="R48" s="16">
        <f t="shared" si="7"/>
        <v>11417425</v>
      </c>
      <c r="S48" s="25">
        <f>3331666.64+1665833.36+264825+5979199</f>
        <v>11241524</v>
      </c>
      <c r="T48" s="18">
        <f t="shared" si="8"/>
        <v>0.98459363648108045</v>
      </c>
      <c r="U48" s="41">
        <f>28785.6</f>
        <v>28785.599999999999</v>
      </c>
      <c r="V48" s="18">
        <f t="shared" si="9"/>
        <v>2.5211989568576102E-3</v>
      </c>
      <c r="W48" s="15">
        <v>28785.599999999999</v>
      </c>
      <c r="X48" s="18">
        <f t="shared" si="10"/>
        <v>2.5211989568576102E-3</v>
      </c>
      <c r="Y48" s="1"/>
      <c r="Z48" s="1"/>
      <c r="AA48" s="1"/>
    </row>
    <row r="49" spans="1:27" ht="54">
      <c r="A49" s="11" t="s">
        <v>84</v>
      </c>
      <c r="B49" s="30" t="s">
        <v>85</v>
      </c>
      <c r="C49" s="30" t="s">
        <v>106</v>
      </c>
      <c r="D49" s="30" t="s">
        <v>109</v>
      </c>
      <c r="E49" s="12" t="s">
        <v>59</v>
      </c>
      <c r="F49" s="30" t="s">
        <v>110</v>
      </c>
      <c r="G49" s="30" t="s">
        <v>51</v>
      </c>
      <c r="H49" s="30" t="s">
        <v>88</v>
      </c>
      <c r="I49" s="12" t="s">
        <v>89</v>
      </c>
      <c r="J49" s="13">
        <v>3</v>
      </c>
      <c r="K49" s="42">
        <f>11991900-K50</f>
        <v>11200000</v>
      </c>
      <c r="L49" s="15">
        <v>0</v>
      </c>
      <c r="M49" s="15">
        <v>4144961</v>
      </c>
      <c r="N49" s="16">
        <f t="shared" si="6"/>
        <v>7055039</v>
      </c>
      <c r="O49" s="17"/>
      <c r="P49" s="17"/>
      <c r="Q49" s="17"/>
      <c r="R49" s="16">
        <f t="shared" si="7"/>
        <v>7055039</v>
      </c>
      <c r="S49" s="14">
        <v>6500296.29</v>
      </c>
      <c r="T49" s="18">
        <f t="shared" si="8"/>
        <v>0.92136929221794517</v>
      </c>
      <c r="U49" s="19">
        <v>52895.85</v>
      </c>
      <c r="V49" s="18">
        <f t="shared" si="9"/>
        <v>7.4975985249691743E-3</v>
      </c>
      <c r="W49" s="15">
        <v>52895.85</v>
      </c>
      <c r="X49" s="18">
        <f t="shared" si="10"/>
        <v>7.4975985249691743E-3</v>
      </c>
      <c r="Y49" s="1"/>
      <c r="Z49" s="1"/>
      <c r="AA49" s="1"/>
    </row>
    <row r="50" spans="1:27" ht="54">
      <c r="A50" s="11" t="s">
        <v>84</v>
      </c>
      <c r="B50" s="30" t="s">
        <v>85</v>
      </c>
      <c r="C50" s="30" t="s">
        <v>106</v>
      </c>
      <c r="D50" s="30" t="s">
        <v>109</v>
      </c>
      <c r="E50" s="12" t="s">
        <v>59</v>
      </c>
      <c r="F50" s="30" t="s">
        <v>110</v>
      </c>
      <c r="G50" s="30" t="s">
        <v>51</v>
      </c>
      <c r="H50" s="30" t="s">
        <v>88</v>
      </c>
      <c r="I50" s="12" t="s">
        <v>89</v>
      </c>
      <c r="J50" s="39">
        <v>4</v>
      </c>
      <c r="K50" s="42">
        <f>100000+691900</f>
        <v>791900</v>
      </c>
      <c r="L50" s="15">
        <v>0</v>
      </c>
      <c r="M50" s="15">
        <v>0</v>
      </c>
      <c r="N50" s="16">
        <f t="shared" si="6"/>
        <v>791900</v>
      </c>
      <c r="O50" s="17"/>
      <c r="P50" s="17"/>
      <c r="Q50" s="17"/>
      <c r="R50" s="16">
        <f t="shared" si="7"/>
        <v>791900</v>
      </c>
      <c r="S50" s="14">
        <v>0</v>
      </c>
      <c r="T50" s="18">
        <f t="shared" si="8"/>
        <v>0</v>
      </c>
      <c r="U50" s="41">
        <v>0</v>
      </c>
      <c r="V50" s="18">
        <f t="shared" si="9"/>
        <v>0</v>
      </c>
      <c r="W50" s="15">
        <v>0</v>
      </c>
      <c r="X50" s="18">
        <f t="shared" si="10"/>
        <v>0</v>
      </c>
      <c r="Y50" s="1"/>
      <c r="Z50" s="1"/>
      <c r="AA50" s="1"/>
    </row>
    <row r="51" spans="1:27" ht="45">
      <c r="A51" s="11" t="s">
        <v>84</v>
      </c>
      <c r="B51" s="30" t="s">
        <v>85</v>
      </c>
      <c r="C51" s="30" t="s">
        <v>69</v>
      </c>
      <c r="D51" s="30" t="s">
        <v>70</v>
      </c>
      <c r="E51" s="12" t="s">
        <v>59</v>
      </c>
      <c r="F51" s="30" t="s">
        <v>111</v>
      </c>
      <c r="G51" s="30" t="s">
        <v>51</v>
      </c>
      <c r="H51" s="30" t="s">
        <v>88</v>
      </c>
      <c r="I51" s="12" t="s">
        <v>89</v>
      </c>
      <c r="J51" s="13">
        <v>3</v>
      </c>
      <c r="K51" s="24">
        <v>1255215</v>
      </c>
      <c r="L51" s="15">
        <v>144638.68</v>
      </c>
      <c r="M51" s="15">
        <v>144638.68</v>
      </c>
      <c r="N51" s="16">
        <f t="shared" si="6"/>
        <v>1255215</v>
      </c>
      <c r="O51" s="17"/>
      <c r="P51" s="17"/>
      <c r="Q51" s="17"/>
      <c r="R51" s="16">
        <f t="shared" si="7"/>
        <v>1255215</v>
      </c>
      <c r="S51" s="14">
        <v>352608.41</v>
      </c>
      <c r="T51" s="18">
        <f t="shared" si="8"/>
        <v>0.28091475165609076</v>
      </c>
      <c r="U51" s="19">
        <v>2749.73</v>
      </c>
      <c r="V51" s="18">
        <f t="shared" si="9"/>
        <v>2.1906446306011319E-3</v>
      </c>
      <c r="W51" s="15">
        <v>2749.73</v>
      </c>
      <c r="X51" s="18">
        <f t="shared" si="10"/>
        <v>2.1906446306011319E-3</v>
      </c>
      <c r="Y51" s="1"/>
      <c r="Z51" s="1"/>
      <c r="AA51" s="1"/>
    </row>
    <row r="52" spans="1:27" ht="45">
      <c r="A52" s="11" t="s">
        <v>84</v>
      </c>
      <c r="B52" s="30" t="s">
        <v>85</v>
      </c>
      <c r="C52" s="30" t="s">
        <v>69</v>
      </c>
      <c r="D52" s="30" t="s">
        <v>112</v>
      </c>
      <c r="E52" s="12" t="s">
        <v>59</v>
      </c>
      <c r="F52" s="30" t="s">
        <v>73</v>
      </c>
      <c r="G52" s="30" t="s">
        <v>51</v>
      </c>
      <c r="H52" s="30" t="s">
        <v>113</v>
      </c>
      <c r="I52" s="30" t="s">
        <v>114</v>
      </c>
      <c r="J52" s="47">
        <v>3</v>
      </c>
      <c r="K52" s="24">
        <v>1175000</v>
      </c>
      <c r="L52" s="15">
        <v>27960</v>
      </c>
      <c r="M52" s="15">
        <v>27960</v>
      </c>
      <c r="N52" s="16">
        <f t="shared" si="6"/>
        <v>1175000</v>
      </c>
      <c r="O52" s="17"/>
      <c r="P52" s="17"/>
      <c r="Q52" s="17"/>
      <c r="R52" s="16">
        <f t="shared" si="7"/>
        <v>1175000</v>
      </c>
      <c r="S52" s="14">
        <v>95866</v>
      </c>
      <c r="T52" s="18">
        <f t="shared" si="8"/>
        <v>8.1588085106382977E-2</v>
      </c>
      <c r="U52" s="19">
        <v>6350</v>
      </c>
      <c r="V52" s="18">
        <f t="shared" si="9"/>
        <v>5.4042553191489357E-3</v>
      </c>
      <c r="W52" s="15">
        <v>5651.5</v>
      </c>
      <c r="X52" s="18">
        <f t="shared" si="10"/>
        <v>4.809787234042553E-3</v>
      </c>
      <c r="Y52" s="1"/>
      <c r="Z52" s="1"/>
      <c r="AA52" s="1"/>
    </row>
    <row r="53" spans="1:27" ht="14.25">
      <c r="A53" s="72" t="s">
        <v>115</v>
      </c>
      <c r="B53" s="56"/>
      <c r="C53" s="56"/>
      <c r="D53" s="56"/>
      <c r="E53" s="56"/>
      <c r="F53" s="56"/>
      <c r="G53" s="56"/>
      <c r="H53" s="56"/>
      <c r="I53" s="56"/>
      <c r="J53" s="57"/>
      <c r="K53" s="31">
        <f t="shared" ref="K53:S53" si="11">SUM(K30:K52)</f>
        <v>268375000</v>
      </c>
      <c r="L53" s="31">
        <f t="shared" si="11"/>
        <v>29373233.029999997</v>
      </c>
      <c r="M53" s="31">
        <f t="shared" si="11"/>
        <v>29373233.029999997</v>
      </c>
      <c r="N53" s="31">
        <f t="shared" si="11"/>
        <v>268375000.00000003</v>
      </c>
      <c r="O53" s="31">
        <f t="shared" si="11"/>
        <v>0</v>
      </c>
      <c r="P53" s="31">
        <f t="shared" si="11"/>
        <v>0</v>
      </c>
      <c r="Q53" s="31">
        <f t="shared" si="11"/>
        <v>0</v>
      </c>
      <c r="R53" s="31">
        <f t="shared" si="11"/>
        <v>268375000.00000003</v>
      </c>
      <c r="S53" s="31">
        <f t="shared" si="11"/>
        <v>138125547.89000002</v>
      </c>
      <c r="T53" s="32">
        <f t="shared" si="8"/>
        <v>0.51467367634839312</v>
      </c>
      <c r="U53" s="31">
        <f>SUM(U30:U52)</f>
        <v>11520672.15</v>
      </c>
      <c r="V53" s="32">
        <f t="shared" si="9"/>
        <v>4.2927516162086628E-2</v>
      </c>
      <c r="W53" s="31">
        <f>SUM(W30:W52)</f>
        <v>10570073.459999999</v>
      </c>
      <c r="X53" s="32">
        <f t="shared" si="10"/>
        <v>3.9385462356776889E-2</v>
      </c>
      <c r="Y53" s="1"/>
      <c r="Z53" s="1"/>
      <c r="AA53" s="1"/>
    </row>
    <row r="54" spans="1:27" ht="14.25">
      <c r="A54" s="73" t="s">
        <v>116</v>
      </c>
      <c r="B54" s="56"/>
      <c r="C54" s="56"/>
      <c r="D54" s="56"/>
      <c r="E54" s="56"/>
      <c r="F54" s="56"/>
      <c r="G54" s="56"/>
      <c r="H54" s="56"/>
      <c r="I54" s="56"/>
      <c r="J54" s="57"/>
      <c r="K54" s="48">
        <f t="shared" ref="K54:S54" si="12">SUM(K27+K53)</f>
        <v>1368008000</v>
      </c>
      <c r="L54" s="48">
        <f t="shared" si="12"/>
        <v>40075931.239999995</v>
      </c>
      <c r="M54" s="48">
        <f t="shared" si="12"/>
        <v>40075931.239999995</v>
      </c>
      <c r="N54" s="48">
        <f t="shared" si="12"/>
        <v>1368008000</v>
      </c>
      <c r="O54" s="48">
        <f t="shared" si="12"/>
        <v>0</v>
      </c>
      <c r="P54" s="48">
        <f t="shared" si="12"/>
        <v>0</v>
      </c>
      <c r="Q54" s="48">
        <f t="shared" si="12"/>
        <v>-8074532.1400000006</v>
      </c>
      <c r="R54" s="48">
        <f t="shared" si="12"/>
        <v>1359933467.8599999</v>
      </c>
      <c r="S54" s="48">
        <f t="shared" si="12"/>
        <v>312067080.30000007</v>
      </c>
      <c r="T54" s="49">
        <f t="shared" si="8"/>
        <v>0.22947231440010873</v>
      </c>
      <c r="U54" s="48">
        <f>SUM(U27+U53)</f>
        <v>185312204.56000003</v>
      </c>
      <c r="V54" s="49">
        <f t="shared" si="9"/>
        <v>0.13626564015047626</v>
      </c>
      <c r="W54" s="48">
        <f>SUM(W27+W53)</f>
        <v>160252142.90000004</v>
      </c>
      <c r="X54" s="49">
        <f t="shared" si="10"/>
        <v>0.11783822274200946</v>
      </c>
      <c r="Y54" s="21"/>
      <c r="Z54" s="1"/>
      <c r="AA54" s="1"/>
    </row>
    <row r="55" spans="1:27">
      <c r="A55" s="50" t="s">
        <v>117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1"/>
      <c r="Z55" s="1"/>
      <c r="AA55" s="1"/>
    </row>
    <row r="56" spans="1:27">
      <c r="A56" s="50" t="s">
        <v>118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1"/>
      <c r="Z56" s="54"/>
      <c r="AA56" s="1"/>
    </row>
    <row r="57" spans="1:27" ht="14.25">
      <c r="A57" s="74" t="s">
        <v>119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7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1"/>
      <c r="Z57" s="54"/>
      <c r="AA57" s="1"/>
    </row>
    <row r="58" spans="1:27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</sheetData>
  <mergeCells count="28">
    <mergeCell ref="A11:J11"/>
    <mergeCell ref="A12:B12"/>
    <mergeCell ref="C12:C13"/>
    <mergeCell ref="D12:D13"/>
    <mergeCell ref="E12:F12"/>
    <mergeCell ref="G12:G13"/>
    <mergeCell ref="H12:I12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53:J53"/>
    <mergeCell ref="A54:J54"/>
    <mergeCell ref="A57:M57"/>
    <mergeCell ref="A6:F6"/>
    <mergeCell ref="A7:F7"/>
    <mergeCell ref="P11:Q11"/>
    <mergeCell ref="R11:R12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2025-03-06T19:13:38Z</dcterms:modified>
</cp:coreProperties>
</file>