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JANEIRO" sheetId="1" r:id="rId1"/>
  </sheets>
  <calcPr calcId="125725"/>
</workbook>
</file>

<file path=xl/calcChain.xml><?xml version="1.0" encoding="utf-8"?>
<calcChain xmlns="http://schemas.openxmlformats.org/spreadsheetml/2006/main">
  <c r="M86" i="1"/>
  <c r="M85"/>
  <c r="N85" s="1"/>
  <c r="M79"/>
  <c r="N79" s="1"/>
  <c r="U76"/>
  <c r="D75"/>
  <c r="M74"/>
  <c r="M73"/>
  <c r="M76" s="1"/>
  <c r="U69"/>
  <c r="W69" s="1"/>
  <c r="W54"/>
  <c r="P54"/>
  <c r="W53"/>
  <c r="U53"/>
  <c r="Q53"/>
  <c r="Q54" s="1"/>
  <c r="P53"/>
  <c r="O53"/>
  <c r="L53"/>
  <c r="N52"/>
  <c r="R52" s="1"/>
  <c r="N51"/>
  <c r="R51" s="1"/>
  <c r="K50"/>
  <c r="N50" s="1"/>
  <c r="R50" s="1"/>
  <c r="K49"/>
  <c r="N49" s="1"/>
  <c r="R49" s="1"/>
  <c r="S48"/>
  <c r="K48"/>
  <c r="K47" s="1"/>
  <c r="N47" s="1"/>
  <c r="R47" s="1"/>
  <c r="S47"/>
  <c r="N46"/>
  <c r="R46" s="1"/>
  <c r="N45"/>
  <c r="R45" s="1"/>
  <c r="N44"/>
  <c r="R44" s="1"/>
  <c r="V43"/>
  <c r="T43"/>
  <c r="R43"/>
  <c r="X43" s="1"/>
  <c r="N43"/>
  <c r="K43"/>
  <c r="X42"/>
  <c r="V42"/>
  <c r="R42"/>
  <c r="T42" s="1"/>
  <c r="N42"/>
  <c r="T41"/>
  <c r="R41"/>
  <c r="V41" s="1"/>
  <c r="N41"/>
  <c r="T40"/>
  <c r="R40"/>
  <c r="V40" s="1"/>
  <c r="N40"/>
  <c r="N39"/>
  <c r="R39" s="1"/>
  <c r="N38"/>
  <c r="R38" s="1"/>
  <c r="N37"/>
  <c r="R37" s="1"/>
  <c r="X36"/>
  <c r="V36"/>
  <c r="T36"/>
  <c r="S36"/>
  <c r="S35" s="1"/>
  <c r="S53" s="1"/>
  <c r="R36"/>
  <c r="N36"/>
  <c r="M35"/>
  <c r="M80" s="1"/>
  <c r="K35"/>
  <c r="K53" s="1"/>
  <c r="N34"/>
  <c r="R34" s="1"/>
  <c r="N33"/>
  <c r="R33" s="1"/>
  <c r="X32"/>
  <c r="V32"/>
  <c r="T32"/>
  <c r="R32"/>
  <c r="N32"/>
  <c r="N31"/>
  <c r="R31" s="1"/>
  <c r="R30"/>
  <c r="X30" s="1"/>
  <c r="N30"/>
  <c r="W27"/>
  <c r="Q27"/>
  <c r="P27"/>
  <c r="O27"/>
  <c r="O54" s="1"/>
  <c r="M27"/>
  <c r="L27"/>
  <c r="L54" s="1"/>
  <c r="N26"/>
  <c r="R26" s="1"/>
  <c r="W25"/>
  <c r="D74" s="1"/>
  <c r="U25"/>
  <c r="U24" s="1"/>
  <c r="T25"/>
  <c r="S25"/>
  <c r="G74" s="1"/>
  <c r="R25"/>
  <c r="X25" s="1"/>
  <c r="N25"/>
  <c r="W24"/>
  <c r="D73" s="1"/>
  <c r="N24"/>
  <c r="R24" s="1"/>
  <c r="K24"/>
  <c r="K27" s="1"/>
  <c r="R23"/>
  <c r="T23" s="1"/>
  <c r="N23"/>
  <c r="N22"/>
  <c r="R22" s="1"/>
  <c r="X21"/>
  <c r="V21"/>
  <c r="T21"/>
  <c r="R21"/>
  <c r="N21"/>
  <c r="X20"/>
  <c r="V20"/>
  <c r="R20"/>
  <c r="T20" s="1"/>
  <c r="N20"/>
  <c r="T19"/>
  <c r="R19"/>
  <c r="V19" s="1"/>
  <c r="N19"/>
  <c r="X18"/>
  <c r="T18"/>
  <c r="R18"/>
  <c r="V18" s="1"/>
  <c r="N18"/>
  <c r="N17"/>
  <c r="N27" s="1"/>
  <c r="N16"/>
  <c r="R16" s="1"/>
  <c r="N15"/>
  <c r="R15" s="1"/>
  <c r="X14"/>
  <c r="V14"/>
  <c r="T14"/>
  <c r="R14"/>
  <c r="N14"/>
  <c r="V45" l="1"/>
  <c r="X45"/>
  <c r="T45"/>
  <c r="T44"/>
  <c r="V44"/>
  <c r="X44"/>
  <c r="T16"/>
  <c r="V16"/>
  <c r="X16"/>
  <c r="V24"/>
  <c r="X24"/>
  <c r="N54"/>
  <c r="N53"/>
  <c r="V34"/>
  <c r="X34"/>
  <c r="T34"/>
  <c r="V52"/>
  <c r="X52"/>
  <c r="T52"/>
  <c r="V39"/>
  <c r="X39"/>
  <c r="T39"/>
  <c r="T15"/>
  <c r="V15"/>
  <c r="X15"/>
  <c r="T33"/>
  <c r="X33"/>
  <c r="V33"/>
  <c r="V51"/>
  <c r="X51"/>
  <c r="T51"/>
  <c r="V38"/>
  <c r="X38"/>
  <c r="T38"/>
  <c r="T50"/>
  <c r="X50"/>
  <c r="V50"/>
  <c r="T49"/>
  <c r="V49"/>
  <c r="X49"/>
  <c r="T22"/>
  <c r="V22"/>
  <c r="X22"/>
  <c r="V47"/>
  <c r="X47"/>
  <c r="T47"/>
  <c r="U67"/>
  <c r="U27"/>
  <c r="U54" s="1"/>
  <c r="K54"/>
  <c r="M54"/>
  <c r="R27"/>
  <c r="T37"/>
  <c r="X37"/>
  <c r="V37"/>
  <c r="T26"/>
  <c r="X26"/>
  <c r="V26"/>
  <c r="T31"/>
  <c r="X31"/>
  <c r="V31"/>
  <c r="V46"/>
  <c r="X46"/>
  <c r="T46"/>
  <c r="M53"/>
  <c r="X19"/>
  <c r="S24"/>
  <c r="V30"/>
  <c r="N35"/>
  <c r="R35" s="1"/>
  <c r="X41"/>
  <c r="U75"/>
  <c r="U77" s="1"/>
  <c r="R17"/>
  <c r="V25"/>
  <c r="T30"/>
  <c r="N48"/>
  <c r="R48" s="1"/>
  <c r="G75"/>
  <c r="M88"/>
  <c r="X40"/>
  <c r="M82"/>
  <c r="U68"/>
  <c r="W68" s="1"/>
  <c r="X23"/>
  <c r="V23"/>
  <c r="N73"/>
  <c r="N89" s="1"/>
  <c r="T48" l="1"/>
  <c r="V48"/>
  <c r="X48"/>
  <c r="V27"/>
  <c r="X27"/>
  <c r="R54"/>
  <c r="T27"/>
  <c r="S27"/>
  <c r="S54" s="1"/>
  <c r="G73"/>
  <c r="V17"/>
  <c r="X17"/>
  <c r="T17"/>
  <c r="V35"/>
  <c r="T35"/>
  <c r="X35"/>
  <c r="T24"/>
  <c r="U72"/>
  <c r="W67"/>
  <c r="W72" s="1"/>
  <c r="R53"/>
  <c r="T54" l="1"/>
  <c r="V54"/>
  <c r="X54"/>
  <c r="V53"/>
  <c r="X53"/>
  <c r="T53"/>
</calcChain>
</file>

<file path=xl/sharedStrings.xml><?xml version="1.0" encoding="utf-8"?>
<sst xmlns="http://schemas.openxmlformats.org/spreadsheetml/2006/main" count="408" uniqueCount="141">
  <si>
    <t>ANEXO II</t>
  </si>
  <si>
    <t>Sigla: TJAM</t>
  </si>
  <si>
    <t>Nome do Órgão: TRIBUNAL DE JUSTIÇA DO AMAZONAS</t>
  </si>
  <si>
    <t>JOMAR RICARDO SAUNDERS FERNANDES</t>
  </si>
  <si>
    <t>Responsável pela Informação: SECRETÁRIO DE ORÇAMENTO E FINANÇAS</t>
  </si>
  <si>
    <t>Mês de Referência: 01/2025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</si>
  <si>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</si>
  <si>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</si>
  <si>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</si>
  <si>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</si>
  <si>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</si>
  <si>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</si>
  <si>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</si>
  <si>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</si>
  <si>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</si>
  <si>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</si>
  <si>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</si>
  <si>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</si>
  <si>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</si>
  <si>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</si>
  <si>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</si>
  <si>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</si>
  <si>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</si>
  <si>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</si>
  <si>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</si>
  <si>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</si>
  <si>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</si>
  <si>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</si>
  <si>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</si>
  <si>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</si>
  <si>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</si>
  <si>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</si>
  <si>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</si>
  <si>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</si>
  <si>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</si>
  <si>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</si>
  <si>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</si>
  <si>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</si>
  <si>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</si>
  <si>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</si>
  <si>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</si>
  <si>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</si>
  <si>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</si>
  <si>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</si>
  <si>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</si>
  <si>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</si>
  <si>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</si>
  <si>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</si>
  <si>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</si>
  <si>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</si>
  <si>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</si>
  <si>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</si>
  <si>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</si>
  <si>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</si>
  <si>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</si>
  <si>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</si>
  <si>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</si>
  <si>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</si>
  <si>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/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</si>
  <si>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</si>
  <si>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</si>
  <si>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</si>
  <si>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</si>
  <si>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</si>
  <si>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</si>
  <si>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</si>
  <si>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</si>
  <si>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</si>
  <si>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</si>
  <si>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</si>
  <si>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</si>
  <si>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</si>
  <si>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</si>
  <si>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</si>
  <si>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</si>
  <si>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</si>
  <si>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</si>
  <si>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</si>
  <si>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</si>
  <si>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</si>
  <si>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</si>
  <si>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</si>
  <si>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</si>
  <si>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</si>
  <si>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</si>
  <si>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</si>
  <si>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</si>
  <si>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</si>
  <si>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</si>
  <si>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</si>
  <si>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</si>
  <si>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</si>
  <si>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</si>
  <si>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</si>
  <si>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</si>
  <si>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</si>
  <si>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</si>
  <si>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</si>
  <si>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</si>
  <si>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</si>
  <si>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</si>
  <si>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</si>
  <si>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</si>
  <si>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</si>
  <si>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</si>
  <si>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</si>
  <si>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</si>
  <si>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</si>
  <si>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</si>
  <si>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</si>
  <si>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</si>
  <si>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</si>
  <si>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</si>
  <si>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</si>
  <si>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</si>
  <si>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</si>
  <si>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</si>
  <si>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</si>
  <si>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</si>
  <si>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</si>
  <si>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</si>
  <si>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</si>
  <si>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</si>
  <si>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 xml:space="preserve">  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</si>
  <si>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</si>
  <si>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</si>
  <si>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</si>
  <si>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</si>
  <si>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</si>
  <si>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</si>
  <si>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</si>
  <si>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</si>
  <si>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</si>
  <si>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</si>
  <si>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</si>
  <si>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</si>
  <si>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</si>
  <si>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</si>
  <si>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</si>
  <si>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</si>
  <si>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Data da Publicação: 20/02/2025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</si>
</sst>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0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sz val="11"/>
      <color theme="1"/>
      <name val="Arial"/>
    </font>
    <font>
      <b/>
      <sz val="7"/>
      <color theme="1"/>
      <name val="Arial"/>
    </font>
    <font>
      <sz val="7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  <fill>
      <patternFill patternType="solid">
        <fgColor rgb="FFCFE7E5"/>
        <bgColor rgb="FFCFE7E5"/>
      </patternFill>
    </fill>
  </fills>
  <borders count="2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2" borderId="4" xfId="0" applyNumberFormat="1" applyFont="1" applyFill="1" applyBorder="1" applyAlignment="1"/>
    <xf numFmtId="4" fontId="3" fillId="0" borderId="0" xfId="0" applyNumberFormat="1" applyFont="1" applyAlignment="1"/>
    <xf numFmtId="166" fontId="3" fillId="2" borderId="4" xfId="0" applyNumberFormat="1" applyFont="1" applyFill="1" applyBorder="1" applyAlignment="1"/>
    <xf numFmtId="0" fontId="3" fillId="0" borderId="0" xfId="0" applyFont="1" applyAlignment="1">
      <alignment horizontal="right"/>
    </xf>
    <xf numFmtId="0" fontId="3" fillId="2" borderId="4" xfId="0" applyFont="1" applyFill="1" applyBorder="1"/>
    <xf numFmtId="0" fontId="8" fillId="0" borderId="12" xfId="0" applyFont="1" applyBorder="1" applyAlignment="1">
      <alignment horizontal="center"/>
    </xf>
    <xf numFmtId="0" fontId="3" fillId="0" borderId="12" xfId="0" applyFont="1" applyBorder="1"/>
    <xf numFmtId="4" fontId="9" fillId="2" borderId="1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right"/>
    </xf>
    <xf numFmtId="4" fontId="8" fillId="5" borderId="12" xfId="0" applyNumberFormat="1" applyFont="1" applyFill="1" applyBorder="1" applyAlignment="1">
      <alignment horizontal="right"/>
    </xf>
    <xf numFmtId="1" fontId="3" fillId="5" borderId="12" xfId="0" applyNumberFormat="1" applyFont="1" applyFill="1" applyBorder="1" applyAlignment="1">
      <alignment horizontal="right"/>
    </xf>
    <xf numFmtId="4" fontId="8" fillId="5" borderId="12" xfId="0" applyNumberFormat="1" applyFont="1" applyFill="1" applyBorder="1" applyAlignment="1">
      <alignment horizontal="right"/>
    </xf>
    <xf numFmtId="4" fontId="8" fillId="5" borderId="12" xfId="0" applyNumberFormat="1" applyFont="1" applyFill="1" applyBorder="1" applyAlignment="1">
      <alignment horizontal="center"/>
    </xf>
    <xf numFmtId="166" fontId="3" fillId="2" borderId="4" xfId="0" applyNumberFormat="1" applyFont="1" applyFill="1" applyBorder="1"/>
    <xf numFmtId="1" fontId="8" fillId="10" borderId="12" xfId="0" applyNumberFormat="1" applyFont="1" applyFill="1" applyBorder="1" applyAlignment="1">
      <alignment horizontal="right"/>
    </xf>
    <xf numFmtId="4" fontId="8" fillId="10" borderId="12" xfId="0" applyNumberFormat="1" applyFont="1" applyFill="1" applyBorder="1" applyAlignment="1">
      <alignment horizontal="right"/>
    </xf>
    <xf numFmtId="1" fontId="3" fillId="10" borderId="12" xfId="0" applyNumberFormat="1" applyFont="1" applyFill="1" applyBorder="1" applyAlignment="1">
      <alignment horizontal="right"/>
    </xf>
    <xf numFmtId="4" fontId="8" fillId="10" borderId="12" xfId="0" applyNumberFormat="1" applyFont="1" applyFill="1" applyBorder="1" applyAlignment="1">
      <alignment horizontal="right"/>
    </xf>
    <xf numFmtId="4" fontId="8" fillId="10" borderId="12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right"/>
    </xf>
    <xf numFmtId="4" fontId="8" fillId="7" borderId="12" xfId="0" applyNumberFormat="1" applyFont="1" applyFill="1" applyBorder="1" applyAlignment="1">
      <alignment horizontal="right"/>
    </xf>
    <xf numFmtId="1" fontId="3" fillId="7" borderId="12" xfId="0" applyNumberFormat="1" applyFont="1" applyFill="1" applyBorder="1" applyAlignment="1">
      <alignment horizontal="right"/>
    </xf>
    <xf numFmtId="4" fontId="8" fillId="7" borderId="12" xfId="0" applyNumberFormat="1" applyFont="1" applyFill="1" applyBorder="1" applyAlignment="1">
      <alignment horizontal="right"/>
    </xf>
    <xf numFmtId="4" fontId="8" fillId="7" borderId="12" xfId="0" applyNumberFormat="1" applyFont="1" applyFill="1" applyBorder="1" applyAlignment="1">
      <alignment horizontal="center"/>
    </xf>
    <xf numFmtId="0" fontId="3" fillId="0" borderId="22" xfId="0" applyFont="1" applyBorder="1" applyAlignment="1"/>
    <xf numFmtId="164" fontId="4" fillId="0" borderId="12" xfId="0" applyNumberFormat="1" applyFont="1" applyBorder="1" applyAlignment="1">
      <alignment horizontal="center"/>
    </xf>
    <xf numFmtId="4" fontId="8" fillId="2" borderId="12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center"/>
    </xf>
    <xf numFmtId="0" fontId="3" fillId="6" borderId="22" xfId="0" applyFont="1" applyFill="1" applyBorder="1" applyAlignment="1"/>
    <xf numFmtId="0" fontId="3" fillId="6" borderId="22" xfId="0" applyFont="1" applyFill="1" applyBorder="1" applyAlignment="1">
      <alignment horizontal="right"/>
    </xf>
    <xf numFmtId="166" fontId="3" fillId="6" borderId="22" xfId="0" applyNumberFormat="1" applyFont="1" applyFill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166" fontId="3" fillId="0" borderId="22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10" borderId="12" xfId="0" applyFont="1" applyFill="1" applyBorder="1" applyAlignment="1"/>
    <xf numFmtId="4" fontId="3" fillId="10" borderId="12" xfId="0" applyNumberFormat="1" applyFont="1" applyFill="1" applyBorder="1" applyAlignment="1">
      <alignment horizontal="center"/>
    </xf>
    <xf numFmtId="4" fontId="3" fillId="0" borderId="22" xfId="0" applyNumberFormat="1" applyFont="1" applyBorder="1" applyAlignment="1"/>
    <xf numFmtId="4" fontId="3" fillId="0" borderId="0" xfId="0" applyNumberFormat="1" applyFont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3" fillId="2" borderId="5" xfId="0" applyFont="1" applyFill="1" applyBorder="1" applyAlignment="1"/>
    <xf numFmtId="0" fontId="2" fillId="0" borderId="8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99"/>
  <sheetViews>
    <sheetView tabSelected="1" workbookViewId="0">
      <selection activeCell="A7" sqref="A7:F7"/>
    </sheetView>
  </sheetViews>
  <sheetFormatPr defaultColWidth="12.5703125" defaultRowHeight="15.75" customHeight="1"/>
  <cols>
    <col min="8" max="8" width="13" customWidth="1"/>
  </cols>
  <sheetData>
    <row r="1" spans="1:27">
      <c r="A1" s="95" t="s">
        <v>0</v>
      </c>
      <c r="B1" s="96"/>
      <c r="C1" s="96"/>
      <c r="D1" s="96"/>
      <c r="E1" s="96"/>
      <c r="F1" s="97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98" t="s">
        <v>1</v>
      </c>
      <c r="B2" s="99"/>
      <c r="C2" s="99"/>
      <c r="D2" s="99"/>
      <c r="E2" s="99"/>
      <c r="F2" s="100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98" t="s">
        <v>2</v>
      </c>
      <c r="B3" s="99"/>
      <c r="C3" s="99"/>
      <c r="D3" s="99"/>
      <c r="E3" s="99"/>
      <c r="F3" s="100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101" t="s">
        <v>3</v>
      </c>
      <c r="B4" s="96"/>
      <c r="C4" s="96"/>
      <c r="D4" s="96"/>
      <c r="E4" s="96"/>
      <c r="F4" s="97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102" t="s">
        <v>4</v>
      </c>
      <c r="B5" s="103"/>
      <c r="C5" s="103"/>
      <c r="D5" s="103"/>
      <c r="E5" s="103"/>
      <c r="F5" s="104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101" t="s">
        <v>5</v>
      </c>
      <c r="B6" s="96"/>
      <c r="C6" s="96"/>
      <c r="D6" s="96"/>
      <c r="E6" s="96"/>
      <c r="F6" s="97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105" t="s">
        <v>140</v>
      </c>
      <c r="B7" s="96"/>
      <c r="C7" s="96"/>
      <c r="D7" s="96"/>
      <c r="E7" s="96"/>
      <c r="F7" s="97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111"/>
      <c r="B8" s="103"/>
      <c r="C8" s="103"/>
      <c r="D8" s="103"/>
      <c r="E8" s="103"/>
      <c r="F8" s="103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112" t="s">
        <v>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>
      <c r="A11" s="106" t="s">
        <v>7</v>
      </c>
      <c r="B11" s="96"/>
      <c r="C11" s="96"/>
      <c r="D11" s="96"/>
      <c r="E11" s="96"/>
      <c r="F11" s="96"/>
      <c r="G11" s="96"/>
      <c r="H11" s="96"/>
      <c r="I11" s="96"/>
      <c r="J11" s="97"/>
      <c r="K11" s="107" t="s">
        <v>8</v>
      </c>
      <c r="L11" s="106" t="s">
        <v>9</v>
      </c>
      <c r="M11" s="97"/>
      <c r="N11" s="107" t="s">
        <v>10</v>
      </c>
      <c r="O11" s="107" t="s">
        <v>11</v>
      </c>
      <c r="P11" s="106" t="s">
        <v>12</v>
      </c>
      <c r="Q11" s="97"/>
      <c r="R11" s="107" t="s">
        <v>13</v>
      </c>
      <c r="S11" s="106" t="s">
        <v>14</v>
      </c>
      <c r="T11" s="96"/>
      <c r="U11" s="96"/>
      <c r="V11" s="96"/>
      <c r="W11" s="96"/>
      <c r="X11" s="97"/>
      <c r="Y11" s="1"/>
      <c r="Z11" s="1"/>
      <c r="AA11" s="1"/>
    </row>
    <row r="12" spans="1:27">
      <c r="A12" s="127" t="s">
        <v>15</v>
      </c>
      <c r="B12" s="97"/>
      <c r="C12" s="107" t="s">
        <v>16</v>
      </c>
      <c r="D12" s="107" t="s">
        <v>17</v>
      </c>
      <c r="E12" s="127" t="s">
        <v>18</v>
      </c>
      <c r="F12" s="97"/>
      <c r="G12" s="107" t="s">
        <v>19</v>
      </c>
      <c r="H12" s="127" t="s">
        <v>20</v>
      </c>
      <c r="I12" s="97"/>
      <c r="J12" s="113" t="s">
        <v>21</v>
      </c>
      <c r="K12" s="108"/>
      <c r="L12" s="7" t="s">
        <v>22</v>
      </c>
      <c r="M12" s="7" t="s">
        <v>23</v>
      </c>
      <c r="N12" s="108"/>
      <c r="O12" s="108"/>
      <c r="P12" s="7" t="s">
        <v>24</v>
      </c>
      <c r="Q12" s="7" t="s">
        <v>25</v>
      </c>
      <c r="R12" s="108"/>
      <c r="S12" s="7" t="s">
        <v>26</v>
      </c>
      <c r="T12" s="8" t="s">
        <v>27</v>
      </c>
      <c r="U12" s="7" t="s">
        <v>28</v>
      </c>
      <c r="V12" s="8" t="s">
        <v>27</v>
      </c>
      <c r="W12" s="9" t="s">
        <v>29</v>
      </c>
      <c r="X12" s="8" t="s">
        <v>27</v>
      </c>
      <c r="Y12" s="1"/>
      <c r="Z12" s="1"/>
      <c r="AA12" s="1"/>
    </row>
    <row r="13" spans="1:27">
      <c r="A13" s="10" t="s">
        <v>30</v>
      </c>
      <c r="B13" s="10" t="s">
        <v>18</v>
      </c>
      <c r="C13" s="108"/>
      <c r="D13" s="108"/>
      <c r="E13" s="10" t="s">
        <v>31</v>
      </c>
      <c r="F13" s="10" t="s">
        <v>32</v>
      </c>
      <c r="G13" s="108"/>
      <c r="H13" s="10" t="s">
        <v>30</v>
      </c>
      <c r="I13" s="10" t="s">
        <v>18</v>
      </c>
      <c r="J13" s="108"/>
      <c r="K13" s="7" t="s">
        <v>33</v>
      </c>
      <c r="L13" s="7" t="s">
        <v>34</v>
      </c>
      <c r="M13" s="7" t="s">
        <v>35</v>
      </c>
      <c r="N13" s="7" t="s">
        <v>36</v>
      </c>
      <c r="O13" s="7" t="s">
        <v>37</v>
      </c>
      <c r="P13" s="7" t="s">
        <v>38</v>
      </c>
      <c r="Q13" s="7" t="s">
        <v>39</v>
      </c>
      <c r="R13" s="7" t="s">
        <v>40</v>
      </c>
      <c r="S13" s="7" t="s">
        <v>41</v>
      </c>
      <c r="T13" s="8" t="s">
        <v>42</v>
      </c>
      <c r="U13" s="7" t="s">
        <v>43</v>
      </c>
      <c r="V13" s="8" t="s">
        <v>44</v>
      </c>
      <c r="W13" s="9" t="s">
        <v>45</v>
      </c>
      <c r="X13" s="8" t="s">
        <v>46</v>
      </c>
      <c r="Y13" s="1"/>
      <c r="Z13" s="1"/>
      <c r="AA13" s="1"/>
    </row>
    <row r="14" spans="1:27">
      <c r="A14" s="11" t="s">
        <v>47</v>
      </c>
      <c r="B14" s="12" t="s">
        <v>48</v>
      </c>
      <c r="C14" s="12" t="s">
        <v>49</v>
      </c>
      <c r="D14" s="12" t="s">
        <v>50</v>
      </c>
      <c r="E14" s="12" t="s">
        <v>51</v>
      </c>
      <c r="F14" s="12" t="s">
        <v>52</v>
      </c>
      <c r="G14" s="12" t="s">
        <v>53</v>
      </c>
      <c r="H14" s="12" t="s">
        <v>54</v>
      </c>
      <c r="I14" s="12" t="s">
        <v>55</v>
      </c>
      <c r="J14" s="13">
        <v>3</v>
      </c>
      <c r="K14" s="14">
        <v>100000</v>
      </c>
      <c r="L14" s="15">
        <v>0</v>
      </c>
      <c r="M14" s="15">
        <v>0</v>
      </c>
      <c r="N14" s="16">
        <f t="shared" ref="N14:N26" si="0">K14+L14-M14</f>
        <v>100000</v>
      </c>
      <c r="O14" s="17"/>
      <c r="P14" s="17"/>
      <c r="Q14" s="17"/>
      <c r="R14" s="16">
        <f t="shared" ref="R14:R26" si="1">N14-O14+P14+Q14</f>
        <v>100000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>
      <c r="A15" s="11" t="s">
        <v>47</v>
      </c>
      <c r="B15" s="12" t="s">
        <v>48</v>
      </c>
      <c r="C15" s="12" t="s">
        <v>49</v>
      </c>
      <c r="D15" s="12" t="s">
        <v>56</v>
      </c>
      <c r="E15" s="12" t="s">
        <v>51</v>
      </c>
      <c r="F15" s="12" t="s">
        <v>57</v>
      </c>
      <c r="G15" s="12" t="s">
        <v>53</v>
      </c>
      <c r="H15" s="12" t="s">
        <v>54</v>
      </c>
      <c r="I15" s="12" t="s">
        <v>55</v>
      </c>
      <c r="J15" s="13">
        <v>3</v>
      </c>
      <c r="K15" s="14">
        <v>84417500</v>
      </c>
      <c r="L15" s="15">
        <v>0</v>
      </c>
      <c r="M15" s="15">
        <v>0</v>
      </c>
      <c r="N15" s="16">
        <f t="shared" si="0"/>
        <v>84417500</v>
      </c>
      <c r="O15" s="20" t="s">
        <v>58</v>
      </c>
      <c r="P15" s="17"/>
      <c r="Q15" s="17"/>
      <c r="R15" s="16" t="e">
        <f t="shared" si="1"/>
        <v>#VALUE!</v>
      </c>
      <c r="S15" s="15">
        <v>7476298.0999999996</v>
      </c>
      <c r="T15" s="18" t="e">
        <f t="shared" si="2"/>
        <v>#VALUE!</v>
      </c>
      <c r="U15" s="19">
        <v>7476298.0999999996</v>
      </c>
      <c r="V15" s="18" t="e">
        <f t="shared" si="3"/>
        <v>#VALUE!</v>
      </c>
      <c r="W15" s="15">
        <v>7476298.0999999996</v>
      </c>
      <c r="X15" s="18" t="e">
        <f t="shared" si="4"/>
        <v>#VALUE!</v>
      </c>
      <c r="Y15" s="21"/>
      <c r="Z15" s="1"/>
      <c r="AA15" s="1"/>
    </row>
    <row r="16" spans="1:27">
      <c r="A16" s="11" t="s">
        <v>47</v>
      </c>
      <c r="B16" s="12" t="s">
        <v>48</v>
      </c>
      <c r="C16" s="12" t="s">
        <v>49</v>
      </c>
      <c r="D16" s="12" t="s">
        <v>59</v>
      </c>
      <c r="E16" s="12" t="s">
        <v>51</v>
      </c>
      <c r="F16" s="12" t="s">
        <v>60</v>
      </c>
      <c r="G16" s="12" t="s">
        <v>53</v>
      </c>
      <c r="H16" s="12" t="s">
        <v>54</v>
      </c>
      <c r="I16" s="12" t="s">
        <v>55</v>
      </c>
      <c r="J16" s="22">
        <v>1</v>
      </c>
      <c r="K16" s="14">
        <v>509048274</v>
      </c>
      <c r="L16" s="15">
        <v>724811.56</v>
      </c>
      <c r="M16" s="15">
        <v>724811.56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v>42765164.82</v>
      </c>
      <c r="T16" s="18">
        <f t="shared" si="2"/>
        <v>8.4010037955653691E-2</v>
      </c>
      <c r="U16" s="23">
        <v>42765164.82</v>
      </c>
      <c r="V16" s="18">
        <f t="shared" si="3"/>
        <v>8.4010037955653691E-2</v>
      </c>
      <c r="W16" s="15">
        <v>34566340.710000001</v>
      </c>
      <c r="X16" s="18">
        <f t="shared" si="4"/>
        <v>6.7903856029968582E-2</v>
      </c>
      <c r="Y16" s="1"/>
      <c r="Z16" s="1"/>
      <c r="AA16" s="1"/>
    </row>
    <row r="17" spans="1:27">
      <c r="A17" s="11" t="s">
        <v>47</v>
      </c>
      <c r="B17" s="12" t="s">
        <v>48</v>
      </c>
      <c r="C17" s="12" t="s">
        <v>49</v>
      </c>
      <c r="D17" s="12" t="s">
        <v>61</v>
      </c>
      <c r="E17" s="12" t="s">
        <v>62</v>
      </c>
      <c r="F17" s="12" t="s">
        <v>63</v>
      </c>
      <c r="G17" s="12" t="s">
        <v>53</v>
      </c>
      <c r="H17" s="12" t="s">
        <v>54</v>
      </c>
      <c r="I17" s="12" t="s">
        <v>55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2247672.86</v>
      </c>
      <c r="T17" s="18">
        <f t="shared" si="2"/>
        <v>9.0590327833173459E-2</v>
      </c>
      <c r="U17" s="19">
        <v>2247672.86</v>
      </c>
      <c r="V17" s="18">
        <f t="shared" si="3"/>
        <v>9.0590327833173459E-2</v>
      </c>
      <c r="W17" s="15">
        <v>2247672.86</v>
      </c>
      <c r="X17" s="18">
        <f t="shared" si="4"/>
        <v>9.0590327833173459E-2</v>
      </c>
      <c r="Y17" s="1"/>
      <c r="Z17" s="1"/>
      <c r="AA17" s="1"/>
    </row>
    <row r="18" spans="1:27">
      <c r="A18" s="11" t="s">
        <v>47</v>
      </c>
      <c r="B18" s="12" t="s">
        <v>48</v>
      </c>
      <c r="C18" s="12" t="s">
        <v>49</v>
      </c>
      <c r="D18" s="12" t="s">
        <v>64</v>
      </c>
      <c r="E18" s="12" t="s">
        <v>62</v>
      </c>
      <c r="F18" s="12" t="s">
        <v>65</v>
      </c>
      <c r="G18" s="12" t="s">
        <v>53</v>
      </c>
      <c r="H18" s="12" t="s">
        <v>54</v>
      </c>
      <c r="I18" s="12" t="s">
        <v>55</v>
      </c>
      <c r="J18" s="13">
        <v>3</v>
      </c>
      <c r="K18" s="14">
        <v>50000</v>
      </c>
      <c r="L18" s="15">
        <v>0</v>
      </c>
      <c r="M18" s="15">
        <v>0</v>
      </c>
      <c r="N18" s="16">
        <f t="shared" si="0"/>
        <v>50000</v>
      </c>
      <c r="O18" s="17"/>
      <c r="P18" s="17"/>
      <c r="Q18" s="17"/>
      <c r="R18" s="16">
        <f t="shared" si="1"/>
        <v>50000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>
      <c r="A19" s="11" t="s">
        <v>47</v>
      </c>
      <c r="B19" s="12" t="s">
        <v>48</v>
      </c>
      <c r="C19" s="12" t="s">
        <v>49</v>
      </c>
      <c r="D19" s="12" t="s">
        <v>66</v>
      </c>
      <c r="E19" s="12" t="s">
        <v>62</v>
      </c>
      <c r="F19" s="12" t="s">
        <v>67</v>
      </c>
      <c r="G19" s="12" t="s">
        <v>53</v>
      </c>
      <c r="H19" s="12" t="s">
        <v>54</v>
      </c>
      <c r="I19" s="12" t="s">
        <v>55</v>
      </c>
      <c r="J19" s="22">
        <v>1</v>
      </c>
      <c r="K19" s="14">
        <v>134637767</v>
      </c>
      <c r="L19" s="15">
        <v>462764.3</v>
      </c>
      <c r="M19" s="15">
        <v>462764.3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11830971.84</v>
      </c>
      <c r="T19" s="18">
        <f t="shared" si="2"/>
        <v>8.7872608879498132E-2</v>
      </c>
      <c r="U19" s="23">
        <v>11830971.84</v>
      </c>
      <c r="V19" s="18">
        <f t="shared" si="3"/>
        <v>8.7872608879498132E-2</v>
      </c>
      <c r="W19" s="15">
        <v>9655954.8000000007</v>
      </c>
      <c r="X19" s="18">
        <f t="shared" si="4"/>
        <v>7.1718025448238465E-2</v>
      </c>
      <c r="Y19" s="1"/>
      <c r="Z19" s="1"/>
      <c r="AA19" s="1"/>
    </row>
    <row r="20" spans="1:27">
      <c r="A20" s="11" t="s">
        <v>47</v>
      </c>
      <c r="B20" s="12" t="s">
        <v>48</v>
      </c>
      <c r="C20" s="12" t="s">
        <v>49</v>
      </c>
      <c r="D20" s="12" t="s">
        <v>68</v>
      </c>
      <c r="E20" s="12" t="s">
        <v>62</v>
      </c>
      <c r="F20" s="12" t="s">
        <v>69</v>
      </c>
      <c r="G20" s="12" t="s">
        <v>53</v>
      </c>
      <c r="H20" s="12" t="s">
        <v>54</v>
      </c>
      <c r="I20" s="12" t="s">
        <v>55</v>
      </c>
      <c r="J20" s="22">
        <v>1</v>
      </c>
      <c r="K20" s="14">
        <v>171339678</v>
      </c>
      <c r="L20" s="15">
        <v>19331.88</v>
      </c>
      <c r="M20" s="15">
        <v>19331.88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13834279.199999999</v>
      </c>
      <c r="T20" s="18">
        <f t="shared" si="2"/>
        <v>8.0741830272378592E-2</v>
      </c>
      <c r="U20" s="23">
        <v>13834279.199999999</v>
      </c>
      <c r="V20" s="18">
        <f t="shared" si="3"/>
        <v>8.0741830272378592E-2</v>
      </c>
      <c r="W20" s="15">
        <v>11373989.07</v>
      </c>
      <c r="X20" s="18">
        <f t="shared" si="4"/>
        <v>6.6382691988016926E-2</v>
      </c>
      <c r="Y20" s="1"/>
      <c r="Z20" s="1"/>
      <c r="AA20" s="1"/>
    </row>
    <row r="21" spans="1:27">
      <c r="A21" s="11" t="s">
        <v>47</v>
      </c>
      <c r="B21" s="12" t="s">
        <v>48</v>
      </c>
      <c r="C21" s="12" t="s">
        <v>49</v>
      </c>
      <c r="D21" s="12" t="s">
        <v>70</v>
      </c>
      <c r="E21" s="12" t="s">
        <v>62</v>
      </c>
      <c r="F21" s="12" t="s">
        <v>71</v>
      </c>
      <c r="G21" s="12" t="s">
        <v>53</v>
      </c>
      <c r="H21" s="12" t="s">
        <v>54</v>
      </c>
      <c r="I21" s="12" t="s">
        <v>55</v>
      </c>
      <c r="J21" s="13">
        <v>3</v>
      </c>
      <c r="K21" s="14">
        <v>27383200</v>
      </c>
      <c r="L21" s="15">
        <v>0</v>
      </c>
      <c r="M21" s="15">
        <v>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2370216.39</v>
      </c>
      <c r="T21" s="18">
        <f t="shared" si="2"/>
        <v>8.6557319451342429E-2</v>
      </c>
      <c r="U21" s="19">
        <v>2370216.39</v>
      </c>
      <c r="V21" s="18">
        <f t="shared" si="3"/>
        <v>8.6557319451342429E-2</v>
      </c>
      <c r="W21" s="15">
        <v>2370216.39</v>
      </c>
      <c r="X21" s="18">
        <f t="shared" si="4"/>
        <v>8.6557319451342429E-2</v>
      </c>
      <c r="Y21" s="1"/>
      <c r="Z21" s="1"/>
      <c r="AA21" s="1"/>
    </row>
    <row r="22" spans="1:27">
      <c r="A22" s="11" t="s">
        <v>47</v>
      </c>
      <c r="B22" s="12" t="s">
        <v>48</v>
      </c>
      <c r="C22" s="12" t="s">
        <v>72</v>
      </c>
      <c r="D22" s="12" t="s">
        <v>73</v>
      </c>
      <c r="E22" s="12" t="s">
        <v>62</v>
      </c>
      <c r="F22" s="12" t="s">
        <v>74</v>
      </c>
      <c r="G22" s="12" t="s">
        <v>53</v>
      </c>
      <c r="H22" s="12" t="s">
        <v>54</v>
      </c>
      <c r="I22" s="12" t="s">
        <v>55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56505</v>
      </c>
      <c r="T22" s="18">
        <f t="shared" si="2"/>
        <v>0.1537212206289226</v>
      </c>
      <c r="U22" s="23">
        <v>56505</v>
      </c>
      <c r="V22" s="18">
        <f t="shared" si="3"/>
        <v>0.1537212206289226</v>
      </c>
      <c r="W22" s="15">
        <v>56505</v>
      </c>
      <c r="X22" s="18">
        <f t="shared" si="4"/>
        <v>0.1537212206289226</v>
      </c>
      <c r="Y22" s="1"/>
      <c r="Z22" s="1"/>
      <c r="AA22" s="1"/>
    </row>
    <row r="23" spans="1:27">
      <c r="A23" s="11" t="s">
        <v>47</v>
      </c>
      <c r="B23" s="12" t="s">
        <v>48</v>
      </c>
      <c r="C23" s="12" t="s">
        <v>72</v>
      </c>
      <c r="D23" s="12" t="s">
        <v>75</v>
      </c>
      <c r="E23" s="12" t="s">
        <v>62</v>
      </c>
      <c r="F23" s="12" t="s">
        <v>76</v>
      </c>
      <c r="G23" s="12" t="s">
        <v>53</v>
      </c>
      <c r="H23" s="12" t="s">
        <v>54</v>
      </c>
      <c r="I23" s="12" t="s">
        <v>55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32835</v>
      </c>
      <c r="T23" s="18">
        <f t="shared" si="2"/>
        <v>0.10730392156862745</v>
      </c>
      <c r="U23" s="23">
        <v>32835</v>
      </c>
      <c r="V23" s="18">
        <f t="shared" si="3"/>
        <v>0.10730392156862745</v>
      </c>
      <c r="W23" s="15">
        <v>32835</v>
      </c>
      <c r="X23" s="18">
        <f t="shared" si="4"/>
        <v>0.10730392156862745</v>
      </c>
      <c r="Y23" s="1"/>
      <c r="Z23" s="1"/>
      <c r="AA23" s="1"/>
    </row>
    <row r="24" spans="1:27">
      <c r="A24" s="11" t="s">
        <v>47</v>
      </c>
      <c r="B24" s="12" t="s">
        <v>48</v>
      </c>
      <c r="C24" s="12" t="s">
        <v>77</v>
      </c>
      <c r="D24" s="12" t="s">
        <v>78</v>
      </c>
      <c r="E24" s="12" t="s">
        <v>79</v>
      </c>
      <c r="F24" s="12" t="s">
        <v>80</v>
      </c>
      <c r="G24" s="12" t="s">
        <v>81</v>
      </c>
      <c r="H24" s="12" t="s">
        <v>54</v>
      </c>
      <c r="I24" s="12" t="s">
        <v>55</v>
      </c>
      <c r="J24" s="22">
        <v>1</v>
      </c>
      <c r="K24" s="25">
        <f>146328600-K25</f>
        <v>140090700</v>
      </c>
      <c r="L24" s="15">
        <v>4234000.38</v>
      </c>
      <c r="M24" s="15">
        <v>4234000.38</v>
      </c>
      <c r="N24" s="16">
        <f t="shared" si="0"/>
        <v>140090700</v>
      </c>
      <c r="O24" s="17"/>
      <c r="P24" s="17"/>
      <c r="Q24" s="26">
        <v>-841802.61</v>
      </c>
      <c r="R24" s="16">
        <f t="shared" si="1"/>
        <v>139248897.38999999</v>
      </c>
      <c r="S24" s="27">
        <f>7909753.38-S25</f>
        <v>6978214.9000000004</v>
      </c>
      <c r="T24" s="18">
        <f t="shared" si="2"/>
        <v>5.0113250666939453E-2</v>
      </c>
      <c r="U24" s="28">
        <f>7742397.29-U25</f>
        <v>6824074.8200000003</v>
      </c>
      <c r="V24" s="18">
        <f t="shared" si="3"/>
        <v>4.9006311345414388E-2</v>
      </c>
      <c r="W24" s="27">
        <f>6287066.72-W25</f>
        <v>5368744.25</v>
      </c>
      <c r="X24" s="18">
        <f t="shared" si="4"/>
        <v>3.8555021624074641E-2</v>
      </c>
      <c r="Y24" s="1"/>
      <c r="Z24" s="1"/>
      <c r="AA24" s="1"/>
    </row>
    <row r="25" spans="1:27">
      <c r="A25" s="11" t="s">
        <v>47</v>
      </c>
      <c r="B25" s="12" t="s">
        <v>48</v>
      </c>
      <c r="C25" s="12" t="s">
        <v>77</v>
      </c>
      <c r="D25" s="12" t="s">
        <v>78</v>
      </c>
      <c r="E25" s="12" t="s">
        <v>79</v>
      </c>
      <c r="F25" s="12" t="s">
        <v>80</v>
      </c>
      <c r="G25" s="12" t="s">
        <v>81</v>
      </c>
      <c r="H25" s="12" t="s">
        <v>54</v>
      </c>
      <c r="I25" s="12" t="s">
        <v>55</v>
      </c>
      <c r="J25" s="13">
        <v>3</v>
      </c>
      <c r="K25" s="14">
        <v>6237900</v>
      </c>
      <c r="L25" s="15">
        <v>0</v>
      </c>
      <c r="M25" s="15">
        <v>0</v>
      </c>
      <c r="N25" s="16">
        <f t="shared" si="0"/>
        <v>6237900</v>
      </c>
      <c r="O25" s="17"/>
      <c r="P25" s="17"/>
      <c r="Q25" s="17"/>
      <c r="R25" s="16">
        <f t="shared" si="1"/>
        <v>6237900</v>
      </c>
      <c r="S25" s="27">
        <f>13216.01+918322.47</f>
        <v>931538.48</v>
      </c>
      <c r="T25" s="18">
        <f t="shared" si="2"/>
        <v>0.14933526988249252</v>
      </c>
      <c r="U25" s="29">
        <f>918322.47</f>
        <v>918322.47</v>
      </c>
      <c r="V25" s="18">
        <f t="shared" si="3"/>
        <v>0.14721660655028135</v>
      </c>
      <c r="W25" s="27">
        <f>918322.47</f>
        <v>918322.47</v>
      </c>
      <c r="X25" s="18">
        <f t="shared" si="4"/>
        <v>0.14721660655028135</v>
      </c>
      <c r="Y25" s="1"/>
      <c r="Z25" s="1"/>
      <c r="AA25" s="1"/>
    </row>
    <row r="26" spans="1:27">
      <c r="A26" s="11" t="s">
        <v>47</v>
      </c>
      <c r="B26" s="30" t="s">
        <v>48</v>
      </c>
      <c r="C26" s="30" t="s">
        <v>82</v>
      </c>
      <c r="D26" s="30" t="s">
        <v>83</v>
      </c>
      <c r="E26" s="30" t="s">
        <v>84</v>
      </c>
      <c r="F26" s="30" t="s">
        <v>85</v>
      </c>
      <c r="G26" s="30" t="s">
        <v>53</v>
      </c>
      <c r="H26" s="30" t="s">
        <v>54</v>
      </c>
      <c r="I26" s="12" t="s">
        <v>55</v>
      </c>
      <c r="J26" s="22">
        <v>1</v>
      </c>
      <c r="K26" s="15">
        <v>843000</v>
      </c>
      <c r="L26" s="15">
        <v>0</v>
      </c>
      <c r="M26" s="15">
        <v>0</v>
      </c>
      <c r="N26" s="16">
        <f t="shared" si="0"/>
        <v>843000</v>
      </c>
      <c r="O26" s="17"/>
      <c r="P26" s="17"/>
      <c r="Q26" s="17"/>
      <c r="R26" s="16">
        <f t="shared" si="1"/>
        <v>843000</v>
      </c>
      <c r="S26" s="15">
        <v>0</v>
      </c>
      <c r="T26" s="18">
        <f t="shared" si="2"/>
        <v>0</v>
      </c>
      <c r="U26" s="23">
        <v>0</v>
      </c>
      <c r="V26" s="18">
        <f t="shared" si="3"/>
        <v>0</v>
      </c>
      <c r="W26" s="15">
        <v>0</v>
      </c>
      <c r="X26" s="18">
        <f t="shared" si="4"/>
        <v>0</v>
      </c>
      <c r="Y26" s="1"/>
      <c r="Z26" s="1"/>
      <c r="AA26" s="1"/>
    </row>
    <row r="27" spans="1:27">
      <c r="A27" s="114" t="s">
        <v>86</v>
      </c>
      <c r="B27" s="96"/>
      <c r="C27" s="96"/>
      <c r="D27" s="96"/>
      <c r="E27" s="96"/>
      <c r="F27" s="96"/>
      <c r="G27" s="96"/>
      <c r="H27" s="96"/>
      <c r="I27" s="96"/>
      <c r="J27" s="97"/>
      <c r="K27" s="31">
        <f t="shared" ref="K27:S27" si="5">SUM(K14:K26)</f>
        <v>1099633000</v>
      </c>
      <c r="L27" s="31">
        <f t="shared" si="5"/>
        <v>5440908.1200000001</v>
      </c>
      <c r="M27" s="31">
        <f t="shared" si="5"/>
        <v>5440908.1200000001</v>
      </c>
      <c r="N27" s="31">
        <f t="shared" si="5"/>
        <v>1099633000</v>
      </c>
      <c r="O27" s="31">
        <f t="shared" si="5"/>
        <v>0</v>
      </c>
      <c r="P27" s="31">
        <f t="shared" si="5"/>
        <v>0</v>
      </c>
      <c r="Q27" s="31">
        <f t="shared" si="5"/>
        <v>-841802.61</v>
      </c>
      <c r="R27" s="31" t="e">
        <f t="shared" si="5"/>
        <v>#VALUE!</v>
      </c>
      <c r="S27" s="31">
        <f t="shared" si="5"/>
        <v>88523696.590000018</v>
      </c>
      <c r="T27" s="32" t="e">
        <f t="shared" si="2"/>
        <v>#VALUE!</v>
      </c>
      <c r="U27" s="31">
        <f>SUM(U14:U26)</f>
        <v>88356340.5</v>
      </c>
      <c r="V27" s="32" t="e">
        <f t="shared" si="3"/>
        <v>#VALUE!</v>
      </c>
      <c r="W27" s="31">
        <f>SUM(W14:W26)</f>
        <v>74066878.649999991</v>
      </c>
      <c r="X27" s="32" t="e">
        <f t="shared" si="4"/>
        <v>#VALUE!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>
      <c r="A30" s="11" t="s">
        <v>87</v>
      </c>
      <c r="B30" s="12" t="s">
        <v>88</v>
      </c>
      <c r="C30" s="12" t="s">
        <v>49</v>
      </c>
      <c r="D30" s="12" t="s">
        <v>89</v>
      </c>
      <c r="E30" s="12" t="s">
        <v>51</v>
      </c>
      <c r="F30" s="12" t="s">
        <v>90</v>
      </c>
      <c r="G30" s="12" t="s">
        <v>53</v>
      </c>
      <c r="H30" s="12" t="s">
        <v>91</v>
      </c>
      <c r="I30" s="12" t="s">
        <v>92</v>
      </c>
      <c r="J30" s="39">
        <v>4</v>
      </c>
      <c r="K30" s="24">
        <v>5240500</v>
      </c>
      <c r="L30" s="15">
        <v>0</v>
      </c>
      <c r="M30" s="15">
        <v>4277157.6100000003</v>
      </c>
      <c r="N30" s="16">
        <f t="shared" ref="N30:N52" si="6">K30+L30-M30</f>
        <v>963342.38999999966</v>
      </c>
      <c r="O30" s="17"/>
      <c r="P30" s="17"/>
      <c r="Q30" s="17"/>
      <c r="R30" s="16">
        <f t="shared" ref="R30:R52" si="7">N30-O30+P30+Q30</f>
        <v>963342.38999999966</v>
      </c>
      <c r="S30" s="40">
        <v>0</v>
      </c>
      <c r="T30" s="18">
        <f t="shared" ref="T30:T54" si="8">IF(R30&gt;0,S30/R30,0)</f>
        <v>0</v>
      </c>
      <c r="U30" s="41">
        <v>0</v>
      </c>
      <c r="V30" s="18">
        <f t="shared" ref="V30:V54" si="9">IF(R30&gt;0,U30/R30,0)</f>
        <v>0</v>
      </c>
      <c r="W30" s="15">
        <v>0</v>
      </c>
      <c r="X30" s="18">
        <f t="shared" ref="X30:X54" si="10">IF(R30&gt;0,W30/R30,0)</f>
        <v>0</v>
      </c>
      <c r="Y30" s="1"/>
      <c r="Z30" s="1"/>
      <c r="AA30" s="1"/>
    </row>
    <row r="31" spans="1:27">
      <c r="A31" s="11" t="s">
        <v>87</v>
      </c>
      <c r="B31" s="12" t="s">
        <v>88</v>
      </c>
      <c r="C31" s="12" t="s">
        <v>49</v>
      </c>
      <c r="D31" s="12" t="s">
        <v>93</v>
      </c>
      <c r="E31" s="12" t="s">
        <v>51</v>
      </c>
      <c r="F31" s="12" t="s">
        <v>90</v>
      </c>
      <c r="G31" s="12" t="s">
        <v>53</v>
      </c>
      <c r="H31" s="12" t="s">
        <v>91</v>
      </c>
      <c r="I31" s="12" t="s">
        <v>92</v>
      </c>
      <c r="J31" s="39">
        <v>4</v>
      </c>
      <c r="K31" s="24">
        <v>0</v>
      </c>
      <c r="L31" s="15">
        <v>320208.37</v>
      </c>
      <c r="M31" s="15">
        <v>0</v>
      </c>
      <c r="N31" s="16">
        <f t="shared" si="6"/>
        <v>320208.37</v>
      </c>
      <c r="O31" s="17"/>
      <c r="P31" s="17"/>
      <c r="Q31" s="17"/>
      <c r="R31" s="16">
        <f t="shared" si="7"/>
        <v>320208.37</v>
      </c>
      <c r="S31" s="40">
        <v>320208.37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>
      <c r="A32" s="11" t="s">
        <v>87</v>
      </c>
      <c r="B32" s="12" t="s">
        <v>88</v>
      </c>
      <c r="C32" s="12" t="s">
        <v>49</v>
      </c>
      <c r="D32" s="12" t="s">
        <v>94</v>
      </c>
      <c r="E32" s="12" t="s">
        <v>51</v>
      </c>
      <c r="F32" s="12" t="s">
        <v>90</v>
      </c>
      <c r="G32" s="12" t="s">
        <v>53</v>
      </c>
      <c r="H32" s="12" t="s">
        <v>91</v>
      </c>
      <c r="I32" s="12" t="s">
        <v>92</v>
      </c>
      <c r="J32" s="39">
        <v>4</v>
      </c>
      <c r="K32" s="24">
        <v>0</v>
      </c>
      <c r="L32" s="15">
        <v>341838.54</v>
      </c>
      <c r="M32" s="15">
        <v>0</v>
      </c>
      <c r="N32" s="16">
        <f t="shared" si="6"/>
        <v>341838.54</v>
      </c>
      <c r="O32" s="17"/>
      <c r="P32" s="17"/>
      <c r="Q32" s="17"/>
      <c r="R32" s="16">
        <f t="shared" si="7"/>
        <v>341838.54</v>
      </c>
      <c r="S32" s="40">
        <v>341838.54</v>
      </c>
      <c r="T32" s="18">
        <f t="shared" si="8"/>
        <v>1</v>
      </c>
      <c r="U32" s="41">
        <v>0</v>
      </c>
      <c r="V32" s="18">
        <f t="shared" si="9"/>
        <v>0</v>
      </c>
      <c r="W32" s="15">
        <v>0</v>
      </c>
      <c r="X32" s="18">
        <f t="shared" si="10"/>
        <v>0</v>
      </c>
      <c r="Y32" s="1"/>
      <c r="Z32" s="1"/>
      <c r="AA32" s="1"/>
    </row>
    <row r="33" spans="1:27">
      <c r="A33" s="11" t="s">
        <v>87</v>
      </c>
      <c r="B33" s="12" t="s">
        <v>88</v>
      </c>
      <c r="C33" s="12" t="s">
        <v>49</v>
      </c>
      <c r="D33" s="12" t="s">
        <v>95</v>
      </c>
      <c r="E33" s="12" t="s">
        <v>51</v>
      </c>
      <c r="F33" s="12" t="s">
        <v>90</v>
      </c>
      <c r="G33" s="12" t="s">
        <v>53</v>
      </c>
      <c r="H33" s="12" t="s">
        <v>91</v>
      </c>
      <c r="I33" s="12" t="s">
        <v>92</v>
      </c>
      <c r="J33" s="39">
        <v>4</v>
      </c>
      <c r="K33" s="24">
        <v>0</v>
      </c>
      <c r="L33" s="15">
        <v>3615110.7</v>
      </c>
      <c r="M33" s="15">
        <v>0</v>
      </c>
      <c r="N33" s="16">
        <f t="shared" si="6"/>
        <v>3615110.7</v>
      </c>
      <c r="O33" s="17"/>
      <c r="P33" s="17"/>
      <c r="Q33" s="17"/>
      <c r="R33" s="16">
        <f t="shared" si="7"/>
        <v>3615110.7</v>
      </c>
      <c r="S33" s="40">
        <v>3615110.7</v>
      </c>
      <c r="T33" s="18">
        <f t="shared" si="8"/>
        <v>1</v>
      </c>
      <c r="U33" s="41">
        <v>0</v>
      </c>
      <c r="V33" s="18">
        <f t="shared" si="9"/>
        <v>0</v>
      </c>
      <c r="W33" s="15">
        <v>0</v>
      </c>
      <c r="X33" s="18">
        <f t="shared" si="10"/>
        <v>0</v>
      </c>
      <c r="Y33" s="1"/>
      <c r="Z33" s="1"/>
      <c r="AA33" s="1"/>
    </row>
    <row r="34" spans="1:27">
      <c r="A34" s="11" t="s">
        <v>87</v>
      </c>
      <c r="B34" s="12" t="s">
        <v>88</v>
      </c>
      <c r="C34" s="12" t="s">
        <v>49</v>
      </c>
      <c r="D34" s="12" t="s">
        <v>96</v>
      </c>
      <c r="E34" s="12" t="s">
        <v>51</v>
      </c>
      <c r="F34" s="12" t="s">
        <v>97</v>
      </c>
      <c r="G34" s="12" t="s">
        <v>53</v>
      </c>
      <c r="H34" s="12" t="s">
        <v>91</v>
      </c>
      <c r="I34" s="12" t="s">
        <v>92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>
      <c r="A35" s="11" t="s">
        <v>87</v>
      </c>
      <c r="B35" s="12" t="s">
        <v>88</v>
      </c>
      <c r="C35" s="12" t="s">
        <v>49</v>
      </c>
      <c r="D35" s="12" t="s">
        <v>50</v>
      </c>
      <c r="E35" s="12" t="s">
        <v>51</v>
      </c>
      <c r="F35" s="12" t="s">
        <v>98</v>
      </c>
      <c r="G35" s="12" t="s">
        <v>53</v>
      </c>
      <c r="H35" s="12" t="s">
        <v>91</v>
      </c>
      <c r="I35" s="12" t="s">
        <v>92</v>
      </c>
      <c r="J35" s="13">
        <v>3</v>
      </c>
      <c r="K35" s="42">
        <f>162737000</f>
        <v>162737000</v>
      </c>
      <c r="L35" s="15">
        <v>0</v>
      </c>
      <c r="M35" s="15">
        <f>3895576.84-M36</f>
        <v>3843597.6399999997</v>
      </c>
      <c r="N35" s="16">
        <f t="shared" si="6"/>
        <v>158893402.36000001</v>
      </c>
      <c r="O35" s="17"/>
      <c r="P35" s="17"/>
      <c r="Q35" s="17"/>
      <c r="R35" s="16">
        <f t="shared" si="7"/>
        <v>158893402.36000001</v>
      </c>
      <c r="S35" s="42">
        <f>59341565.41-S36</f>
        <v>57677811.239999995</v>
      </c>
      <c r="T35" s="18">
        <f t="shared" si="8"/>
        <v>0.36299689215113606</v>
      </c>
      <c r="U35" s="19">
        <v>1113444.97</v>
      </c>
      <c r="V35" s="18">
        <f t="shared" si="9"/>
        <v>7.0074965572031814E-3</v>
      </c>
      <c r="W35" s="15">
        <v>1093194.04</v>
      </c>
      <c r="X35" s="18">
        <f t="shared" si="10"/>
        <v>6.8800467720061976E-3</v>
      </c>
      <c r="Y35" s="1"/>
      <c r="Z35" s="1"/>
      <c r="AA35" s="1"/>
    </row>
    <row r="36" spans="1:27">
      <c r="A36" s="11" t="s">
        <v>87</v>
      </c>
      <c r="B36" s="12" t="s">
        <v>88</v>
      </c>
      <c r="C36" s="12" t="s">
        <v>49</v>
      </c>
      <c r="D36" s="12" t="s">
        <v>50</v>
      </c>
      <c r="E36" s="12" t="s">
        <v>51</v>
      </c>
      <c r="F36" s="12" t="s">
        <v>98</v>
      </c>
      <c r="G36" s="12" t="s">
        <v>53</v>
      </c>
      <c r="H36" s="12" t="s">
        <v>91</v>
      </c>
      <c r="I36" s="12" t="s">
        <v>92</v>
      </c>
      <c r="J36" s="39">
        <v>4</v>
      </c>
      <c r="K36" s="24">
        <v>0</v>
      </c>
      <c r="L36" s="15">
        <v>51979.199999999997</v>
      </c>
      <c r="M36" s="15">
        <v>51979.199999999997</v>
      </c>
      <c r="N36" s="16">
        <f t="shared" si="6"/>
        <v>0</v>
      </c>
      <c r="O36" s="17"/>
      <c r="P36" s="17"/>
      <c r="Q36" s="17"/>
      <c r="R36" s="16">
        <f t="shared" si="7"/>
        <v>0</v>
      </c>
      <c r="S36" s="27">
        <f>1529230.94+134523.23</f>
        <v>1663754.17</v>
      </c>
      <c r="T36" s="18">
        <f t="shared" si="8"/>
        <v>0</v>
      </c>
      <c r="U36" s="41">
        <v>0</v>
      </c>
      <c r="V36" s="18">
        <f t="shared" si="9"/>
        <v>0</v>
      </c>
      <c r="W36" s="15">
        <v>0</v>
      </c>
      <c r="X36" s="18">
        <f t="shared" si="10"/>
        <v>0</v>
      </c>
      <c r="Y36" s="1"/>
      <c r="Z36" s="1"/>
      <c r="AA36" s="1"/>
    </row>
    <row r="37" spans="1:27">
      <c r="A37" s="11" t="s">
        <v>87</v>
      </c>
      <c r="B37" s="12" t="s">
        <v>88</v>
      </c>
      <c r="C37" s="12" t="s">
        <v>49</v>
      </c>
      <c r="D37" s="12" t="s">
        <v>56</v>
      </c>
      <c r="E37" s="12" t="s">
        <v>51</v>
      </c>
      <c r="F37" s="12" t="s">
        <v>99</v>
      </c>
      <c r="G37" s="12" t="s">
        <v>53</v>
      </c>
      <c r="H37" s="12" t="s">
        <v>91</v>
      </c>
      <c r="I37" s="12" t="s">
        <v>92</v>
      </c>
      <c r="J37" s="13">
        <v>3</v>
      </c>
      <c r="K37" s="24">
        <v>100000</v>
      </c>
      <c r="L37" s="14">
        <v>0</v>
      </c>
      <c r="M37" s="14">
        <v>0</v>
      </c>
      <c r="N37" s="43">
        <f t="shared" si="6"/>
        <v>100000</v>
      </c>
      <c r="O37" s="44"/>
      <c r="P37" s="44"/>
      <c r="Q37" s="44"/>
      <c r="R37" s="43">
        <f t="shared" si="7"/>
        <v>100000</v>
      </c>
      <c r="S37" s="14">
        <v>0</v>
      </c>
      <c r="T37" s="45">
        <f t="shared" si="8"/>
        <v>0</v>
      </c>
      <c r="U37" s="19">
        <v>0</v>
      </c>
      <c r="V37" s="45">
        <f t="shared" si="9"/>
        <v>0</v>
      </c>
      <c r="W37" s="14">
        <v>0</v>
      </c>
      <c r="X37" s="45">
        <f t="shared" si="10"/>
        <v>0</v>
      </c>
      <c r="Y37" s="1"/>
      <c r="Z37" s="1"/>
      <c r="AA37" s="1"/>
    </row>
    <row r="38" spans="1:27">
      <c r="A38" s="11" t="s">
        <v>87</v>
      </c>
      <c r="B38" s="12" t="s">
        <v>88</v>
      </c>
      <c r="C38" s="12" t="s">
        <v>49</v>
      </c>
      <c r="D38" s="12" t="s">
        <v>100</v>
      </c>
      <c r="E38" s="12" t="s">
        <v>62</v>
      </c>
      <c r="F38" s="12" t="s">
        <v>101</v>
      </c>
      <c r="G38" s="12" t="s">
        <v>53</v>
      </c>
      <c r="H38" s="12" t="s">
        <v>91</v>
      </c>
      <c r="I38" s="12" t="s">
        <v>92</v>
      </c>
      <c r="J38" s="39">
        <v>4</v>
      </c>
      <c r="K38" s="24">
        <v>1000000</v>
      </c>
      <c r="L38" s="14">
        <v>0</v>
      </c>
      <c r="M38" s="14">
        <v>1000000</v>
      </c>
      <c r="N38" s="43">
        <f t="shared" si="6"/>
        <v>0</v>
      </c>
      <c r="O38" s="44"/>
      <c r="P38" s="44"/>
      <c r="Q38" s="44"/>
      <c r="R38" s="43">
        <f t="shared" si="7"/>
        <v>0</v>
      </c>
      <c r="S38" s="40">
        <v>0</v>
      </c>
      <c r="T38" s="45">
        <f t="shared" si="8"/>
        <v>0</v>
      </c>
      <c r="U38" s="41">
        <v>0</v>
      </c>
      <c r="V38" s="45">
        <f t="shared" si="9"/>
        <v>0</v>
      </c>
      <c r="W38" s="14">
        <v>0</v>
      </c>
      <c r="X38" s="45">
        <f t="shared" si="10"/>
        <v>0</v>
      </c>
      <c r="Y38" s="1"/>
      <c r="Z38" s="1"/>
      <c r="AA38" s="1"/>
    </row>
    <row r="39" spans="1:27">
      <c r="A39" s="11" t="s">
        <v>87</v>
      </c>
      <c r="B39" s="12" t="s">
        <v>88</v>
      </c>
      <c r="C39" s="12" t="s">
        <v>49</v>
      </c>
      <c r="D39" s="12" t="s">
        <v>102</v>
      </c>
      <c r="E39" s="12" t="s">
        <v>62</v>
      </c>
      <c r="F39" s="12" t="s">
        <v>101</v>
      </c>
      <c r="G39" s="12" t="s">
        <v>53</v>
      </c>
      <c r="H39" s="12" t="s">
        <v>91</v>
      </c>
      <c r="I39" s="12" t="s">
        <v>92</v>
      </c>
      <c r="J39" s="39">
        <v>4</v>
      </c>
      <c r="K39" s="24">
        <v>0</v>
      </c>
      <c r="L39" s="14">
        <v>4843597.6399999997</v>
      </c>
      <c r="M39" s="14">
        <v>0</v>
      </c>
      <c r="N39" s="43">
        <f t="shared" si="6"/>
        <v>4843597.6399999997</v>
      </c>
      <c r="O39" s="44"/>
      <c r="P39" s="44"/>
      <c r="Q39" s="44"/>
      <c r="R39" s="43">
        <f t="shared" si="7"/>
        <v>4843597.6399999997</v>
      </c>
      <c r="S39" s="40">
        <v>1000000</v>
      </c>
      <c r="T39" s="45">
        <f t="shared" si="8"/>
        <v>0.2064581070363227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>
      <c r="A40" s="11" t="s">
        <v>87</v>
      </c>
      <c r="B40" s="12" t="s">
        <v>88</v>
      </c>
      <c r="C40" s="12" t="s">
        <v>49</v>
      </c>
      <c r="D40" s="12" t="s">
        <v>103</v>
      </c>
      <c r="E40" s="12" t="s">
        <v>62</v>
      </c>
      <c r="F40" s="12" t="s">
        <v>104</v>
      </c>
      <c r="G40" s="12" t="s">
        <v>53</v>
      </c>
      <c r="H40" s="12" t="s">
        <v>91</v>
      </c>
      <c r="I40" s="12" t="s">
        <v>92</v>
      </c>
      <c r="J40" s="39">
        <v>4</v>
      </c>
      <c r="K40" s="24">
        <v>120600</v>
      </c>
      <c r="L40" s="14">
        <v>0</v>
      </c>
      <c r="M40" s="14">
        <v>0</v>
      </c>
      <c r="N40" s="43">
        <f t="shared" si="6"/>
        <v>120600</v>
      </c>
      <c r="O40" s="44"/>
      <c r="P40" s="44"/>
      <c r="Q40" s="44"/>
      <c r="R40" s="43">
        <f t="shared" si="7"/>
        <v>120600</v>
      </c>
      <c r="S40" s="40">
        <v>0</v>
      </c>
      <c r="T40" s="45">
        <f t="shared" si="8"/>
        <v>0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>
      <c r="A41" s="11" t="s">
        <v>87</v>
      </c>
      <c r="B41" s="12" t="s">
        <v>88</v>
      </c>
      <c r="C41" s="12" t="s">
        <v>49</v>
      </c>
      <c r="D41" s="12" t="s">
        <v>105</v>
      </c>
      <c r="E41" s="12" t="s">
        <v>62</v>
      </c>
      <c r="F41" s="12" t="s">
        <v>106</v>
      </c>
      <c r="G41" s="12" t="s">
        <v>53</v>
      </c>
      <c r="H41" s="12" t="s">
        <v>91</v>
      </c>
      <c r="I41" s="12" t="s">
        <v>92</v>
      </c>
      <c r="J41" s="13">
        <v>3</v>
      </c>
      <c r="K41" s="24">
        <v>500000</v>
      </c>
      <c r="L41" s="14">
        <v>0</v>
      </c>
      <c r="M41" s="14">
        <v>0</v>
      </c>
      <c r="N41" s="43">
        <f t="shared" si="6"/>
        <v>500000</v>
      </c>
      <c r="O41" s="44"/>
      <c r="P41" s="44"/>
      <c r="Q41" s="44"/>
      <c r="R41" s="43">
        <f t="shared" si="7"/>
        <v>500000</v>
      </c>
      <c r="S41" s="40">
        <v>500000</v>
      </c>
      <c r="T41" s="45">
        <f t="shared" si="8"/>
        <v>1</v>
      </c>
      <c r="U41" s="46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>
      <c r="A42" s="11" t="s">
        <v>87</v>
      </c>
      <c r="B42" s="12" t="s">
        <v>88</v>
      </c>
      <c r="C42" s="12" t="s">
        <v>49</v>
      </c>
      <c r="D42" s="12" t="s">
        <v>61</v>
      </c>
      <c r="E42" s="12" t="s">
        <v>62</v>
      </c>
      <c r="F42" s="12" t="s">
        <v>63</v>
      </c>
      <c r="G42" s="12" t="s">
        <v>53</v>
      </c>
      <c r="H42" s="12" t="s">
        <v>91</v>
      </c>
      <c r="I42" s="12" t="s">
        <v>92</v>
      </c>
      <c r="J42" s="13">
        <v>3</v>
      </c>
      <c r="K42" s="24">
        <v>50000</v>
      </c>
      <c r="L42" s="15">
        <v>0</v>
      </c>
      <c r="M42" s="15">
        <v>0</v>
      </c>
      <c r="N42" s="16">
        <f t="shared" si="6"/>
        <v>50000</v>
      </c>
      <c r="O42" s="17"/>
      <c r="P42" s="17"/>
      <c r="Q42" s="17"/>
      <c r="R42" s="16">
        <f t="shared" si="7"/>
        <v>50000</v>
      </c>
      <c r="S42" s="40">
        <v>0</v>
      </c>
      <c r="T42" s="18">
        <f t="shared" si="8"/>
        <v>0</v>
      </c>
      <c r="U42" s="19">
        <v>0</v>
      </c>
      <c r="V42" s="18">
        <f t="shared" si="9"/>
        <v>0</v>
      </c>
      <c r="W42" s="15">
        <v>0</v>
      </c>
      <c r="X42" s="18">
        <f t="shared" si="10"/>
        <v>0</v>
      </c>
      <c r="Y42" s="1"/>
      <c r="Z42" s="1"/>
      <c r="AA42" s="1"/>
    </row>
    <row r="43" spans="1:27">
      <c r="A43" s="11" t="s">
        <v>87</v>
      </c>
      <c r="B43" s="12" t="s">
        <v>88</v>
      </c>
      <c r="C43" s="12" t="s">
        <v>49</v>
      </c>
      <c r="D43" s="12" t="s">
        <v>64</v>
      </c>
      <c r="E43" s="12" t="s">
        <v>62</v>
      </c>
      <c r="F43" s="12" t="s">
        <v>65</v>
      </c>
      <c r="G43" s="12" t="s">
        <v>53</v>
      </c>
      <c r="H43" s="12" t="s">
        <v>91</v>
      </c>
      <c r="I43" s="12" t="s">
        <v>92</v>
      </c>
      <c r="J43" s="13">
        <v>3</v>
      </c>
      <c r="K43" s="42">
        <f>54121000-K44</f>
        <v>53911000</v>
      </c>
      <c r="L43" s="15">
        <v>0</v>
      </c>
      <c r="M43" s="15">
        <v>0</v>
      </c>
      <c r="N43" s="16">
        <f t="shared" si="6"/>
        <v>53911000</v>
      </c>
      <c r="O43" s="17"/>
      <c r="P43" s="17"/>
      <c r="Q43" s="17"/>
      <c r="R43" s="16">
        <f t="shared" si="7"/>
        <v>53911000</v>
      </c>
      <c r="S43" s="15">
        <v>19279806.940000001</v>
      </c>
      <c r="T43" s="18">
        <f t="shared" si="8"/>
        <v>0.35762287733486675</v>
      </c>
      <c r="U43" s="19">
        <v>578955.72</v>
      </c>
      <c r="V43" s="18">
        <f t="shared" si="9"/>
        <v>1.0739101853054107E-2</v>
      </c>
      <c r="W43" s="15">
        <v>416497.69</v>
      </c>
      <c r="X43" s="18">
        <f t="shared" si="10"/>
        <v>7.7256532062102354E-3</v>
      </c>
      <c r="Y43" s="1"/>
      <c r="Z43" s="1"/>
      <c r="AA43" s="1"/>
    </row>
    <row r="44" spans="1:27">
      <c r="A44" s="11" t="s">
        <v>87</v>
      </c>
      <c r="B44" s="12" t="s">
        <v>88</v>
      </c>
      <c r="C44" s="12" t="s">
        <v>49</v>
      </c>
      <c r="D44" s="12" t="s">
        <v>64</v>
      </c>
      <c r="E44" s="12" t="s">
        <v>62</v>
      </c>
      <c r="F44" s="12" t="s">
        <v>65</v>
      </c>
      <c r="G44" s="12" t="s">
        <v>53</v>
      </c>
      <c r="H44" s="12" t="s">
        <v>91</v>
      </c>
      <c r="I44" s="12" t="s">
        <v>92</v>
      </c>
      <c r="J44" s="39">
        <v>4</v>
      </c>
      <c r="K44" s="24">
        <v>210000</v>
      </c>
      <c r="L44" s="15">
        <v>0</v>
      </c>
      <c r="M44" s="15">
        <v>0</v>
      </c>
      <c r="N44" s="16">
        <f t="shared" si="6"/>
        <v>210000</v>
      </c>
      <c r="O44" s="17"/>
      <c r="P44" s="17"/>
      <c r="Q44" s="17"/>
      <c r="R44" s="16">
        <f t="shared" si="7"/>
        <v>210000</v>
      </c>
      <c r="S44" s="15">
        <v>0</v>
      </c>
      <c r="T44" s="18">
        <f t="shared" si="8"/>
        <v>0</v>
      </c>
      <c r="U44" s="41">
        <v>0</v>
      </c>
      <c r="V44" s="18">
        <f t="shared" si="9"/>
        <v>0</v>
      </c>
      <c r="W44" s="15">
        <v>0</v>
      </c>
      <c r="X44" s="18">
        <f t="shared" si="10"/>
        <v>0</v>
      </c>
      <c r="Y44" s="1"/>
      <c r="Z44" s="1"/>
      <c r="AA44" s="1"/>
    </row>
    <row r="45" spans="1:27">
      <c r="A45" s="11" t="s">
        <v>87</v>
      </c>
      <c r="B45" s="30" t="s">
        <v>88</v>
      </c>
      <c r="C45" s="30" t="s">
        <v>49</v>
      </c>
      <c r="D45" s="30" t="s">
        <v>107</v>
      </c>
      <c r="E45" s="12" t="s">
        <v>62</v>
      </c>
      <c r="F45" s="30" t="s">
        <v>108</v>
      </c>
      <c r="G45" s="30" t="s">
        <v>53</v>
      </c>
      <c r="H45" s="30" t="s">
        <v>91</v>
      </c>
      <c r="I45" s="12" t="s">
        <v>92</v>
      </c>
      <c r="J45" s="13">
        <v>3</v>
      </c>
      <c r="K45" s="24">
        <v>960000</v>
      </c>
      <c r="L45" s="15">
        <v>0</v>
      </c>
      <c r="M45" s="15">
        <v>0</v>
      </c>
      <c r="N45" s="16">
        <f t="shared" si="6"/>
        <v>960000</v>
      </c>
      <c r="O45" s="17"/>
      <c r="P45" s="17"/>
      <c r="Q45" s="17"/>
      <c r="R45" s="16">
        <f t="shared" si="7"/>
        <v>960000</v>
      </c>
      <c r="S45" s="14">
        <v>0</v>
      </c>
      <c r="T45" s="18">
        <f t="shared" si="8"/>
        <v>0</v>
      </c>
      <c r="U45" s="19">
        <v>0</v>
      </c>
      <c r="V45" s="18">
        <f t="shared" si="9"/>
        <v>0</v>
      </c>
      <c r="W45" s="15">
        <v>0</v>
      </c>
      <c r="X45" s="18">
        <f t="shared" si="10"/>
        <v>0</v>
      </c>
      <c r="Y45" s="1"/>
      <c r="Z45" s="1"/>
      <c r="AA45" s="1"/>
    </row>
    <row r="46" spans="1:27">
      <c r="A46" s="11" t="s">
        <v>87</v>
      </c>
      <c r="B46" s="30" t="s">
        <v>88</v>
      </c>
      <c r="C46" s="30" t="s">
        <v>49</v>
      </c>
      <c r="D46" s="30" t="s">
        <v>70</v>
      </c>
      <c r="E46" s="12" t="s">
        <v>62</v>
      </c>
      <c r="F46" s="30" t="s">
        <v>71</v>
      </c>
      <c r="G46" s="30" t="s">
        <v>53</v>
      </c>
      <c r="H46" s="30" t="s">
        <v>91</v>
      </c>
      <c r="I46" s="12" t="s">
        <v>92</v>
      </c>
      <c r="J46" s="13">
        <v>3</v>
      </c>
      <c r="K46" s="24">
        <v>50000</v>
      </c>
      <c r="L46" s="15">
        <v>0</v>
      </c>
      <c r="M46" s="15">
        <v>0</v>
      </c>
      <c r="N46" s="16">
        <f t="shared" si="6"/>
        <v>50000</v>
      </c>
      <c r="O46" s="17"/>
      <c r="P46" s="17"/>
      <c r="Q46" s="17"/>
      <c r="R46" s="16">
        <f t="shared" si="7"/>
        <v>50000</v>
      </c>
      <c r="S46" s="14">
        <v>0</v>
      </c>
      <c r="T46" s="18">
        <f t="shared" si="8"/>
        <v>0</v>
      </c>
      <c r="U46" s="19">
        <v>0</v>
      </c>
      <c r="V46" s="18">
        <f t="shared" si="9"/>
        <v>0</v>
      </c>
      <c r="W46" s="15">
        <v>0</v>
      </c>
      <c r="X46" s="18">
        <f t="shared" si="10"/>
        <v>0</v>
      </c>
      <c r="Y46" s="1"/>
      <c r="Z46" s="1"/>
      <c r="AA46" s="1"/>
    </row>
    <row r="47" spans="1:27">
      <c r="A47" s="11" t="s">
        <v>87</v>
      </c>
      <c r="B47" s="12" t="s">
        <v>88</v>
      </c>
      <c r="C47" s="12" t="s">
        <v>109</v>
      </c>
      <c r="D47" s="12" t="s">
        <v>110</v>
      </c>
      <c r="E47" s="12" t="s">
        <v>51</v>
      </c>
      <c r="F47" s="12" t="s">
        <v>111</v>
      </c>
      <c r="G47" s="12" t="s">
        <v>53</v>
      </c>
      <c r="H47" s="12" t="s">
        <v>91</v>
      </c>
      <c r="I47" s="12" t="s">
        <v>92</v>
      </c>
      <c r="J47" s="13">
        <v>3</v>
      </c>
      <c r="K47" s="42">
        <f>27694385-K48</f>
        <v>18636785</v>
      </c>
      <c r="L47" s="14">
        <v>2053261</v>
      </c>
      <c r="M47" s="14">
        <v>0</v>
      </c>
      <c r="N47" s="43">
        <f t="shared" si="6"/>
        <v>20690046</v>
      </c>
      <c r="O47" s="44"/>
      <c r="P47" s="44"/>
      <c r="Q47" s="44"/>
      <c r="R47" s="43">
        <f t="shared" si="7"/>
        <v>20690046</v>
      </c>
      <c r="S47" s="25">
        <f>27846015.79-S48</f>
        <v>18964316.789999999</v>
      </c>
      <c r="T47" s="45">
        <f t="shared" si="8"/>
        <v>0.91659133043976793</v>
      </c>
      <c r="U47" s="19">
        <v>0</v>
      </c>
      <c r="V47" s="45">
        <f t="shared" si="9"/>
        <v>0</v>
      </c>
      <c r="W47" s="14">
        <v>0</v>
      </c>
      <c r="X47" s="45">
        <f t="shared" si="10"/>
        <v>0</v>
      </c>
      <c r="Y47" s="1"/>
      <c r="Z47" s="1"/>
      <c r="AA47" s="1"/>
    </row>
    <row r="48" spans="1:27">
      <c r="A48" s="11" t="s">
        <v>87</v>
      </c>
      <c r="B48" s="30" t="s">
        <v>88</v>
      </c>
      <c r="C48" s="30" t="s">
        <v>109</v>
      </c>
      <c r="D48" s="30" t="s">
        <v>110</v>
      </c>
      <c r="E48" s="12" t="s">
        <v>51</v>
      </c>
      <c r="F48" s="12" t="s">
        <v>111</v>
      </c>
      <c r="G48" s="30" t="s">
        <v>53</v>
      </c>
      <c r="H48" s="30" t="s">
        <v>91</v>
      </c>
      <c r="I48" s="12" t="s">
        <v>92</v>
      </c>
      <c r="J48" s="39">
        <v>4</v>
      </c>
      <c r="K48" s="42">
        <f>4997500+4060100</f>
        <v>9057600</v>
      </c>
      <c r="L48" s="15">
        <v>0</v>
      </c>
      <c r="M48" s="14">
        <v>0</v>
      </c>
      <c r="N48" s="16">
        <f t="shared" si="6"/>
        <v>9057600</v>
      </c>
      <c r="O48" s="17"/>
      <c r="P48" s="17"/>
      <c r="Q48" s="17"/>
      <c r="R48" s="16">
        <f t="shared" si="7"/>
        <v>9057600</v>
      </c>
      <c r="S48" s="25">
        <f>3331666.64+1665833.36+3884199</f>
        <v>8881699</v>
      </c>
      <c r="T48" s="18">
        <f t="shared" si="8"/>
        <v>0.9805797341459106</v>
      </c>
      <c r="U48" s="41">
        <v>0</v>
      </c>
      <c r="V48" s="18">
        <f t="shared" si="9"/>
        <v>0</v>
      </c>
      <c r="W48" s="15">
        <v>0</v>
      </c>
      <c r="X48" s="18">
        <f t="shared" si="10"/>
        <v>0</v>
      </c>
      <c r="Y48" s="1"/>
      <c r="Z48" s="1"/>
      <c r="AA48" s="1"/>
    </row>
    <row r="49" spans="1:27">
      <c r="A49" s="11" t="s">
        <v>87</v>
      </c>
      <c r="B49" s="30" t="s">
        <v>88</v>
      </c>
      <c r="C49" s="30" t="s">
        <v>109</v>
      </c>
      <c r="D49" s="30" t="s">
        <v>112</v>
      </c>
      <c r="E49" s="12" t="s">
        <v>62</v>
      </c>
      <c r="F49" s="30" t="s">
        <v>113</v>
      </c>
      <c r="G49" s="30" t="s">
        <v>53</v>
      </c>
      <c r="H49" s="30" t="s">
        <v>91</v>
      </c>
      <c r="I49" s="12" t="s">
        <v>92</v>
      </c>
      <c r="J49" s="13">
        <v>3</v>
      </c>
      <c r="K49" s="42">
        <f>11991900-K50</f>
        <v>11300000</v>
      </c>
      <c r="L49" s="15">
        <v>0</v>
      </c>
      <c r="M49" s="15">
        <v>2053261</v>
      </c>
      <c r="N49" s="16">
        <f t="shared" si="6"/>
        <v>9246739</v>
      </c>
      <c r="O49" s="17"/>
      <c r="P49" s="17"/>
      <c r="Q49" s="17"/>
      <c r="R49" s="16">
        <f t="shared" si="7"/>
        <v>9246739</v>
      </c>
      <c r="S49" s="14">
        <v>6530096.29</v>
      </c>
      <c r="T49" s="18">
        <f t="shared" si="8"/>
        <v>0.70620532168151384</v>
      </c>
      <c r="U49" s="19">
        <v>3519.61</v>
      </c>
      <c r="V49" s="18">
        <f t="shared" si="9"/>
        <v>3.8063256678922162E-4</v>
      </c>
      <c r="W49" s="15">
        <v>3519.61</v>
      </c>
      <c r="X49" s="18">
        <f t="shared" si="10"/>
        <v>3.8063256678922162E-4</v>
      </c>
      <c r="Y49" s="1"/>
      <c r="Z49" s="1"/>
      <c r="AA49" s="1"/>
    </row>
    <row r="50" spans="1:27">
      <c r="A50" s="11" t="s">
        <v>87</v>
      </c>
      <c r="B50" s="30" t="s">
        <v>88</v>
      </c>
      <c r="C50" s="30" t="s">
        <v>109</v>
      </c>
      <c r="D50" s="30" t="s">
        <v>112</v>
      </c>
      <c r="E50" s="12" t="s">
        <v>62</v>
      </c>
      <c r="F50" s="30" t="s">
        <v>113</v>
      </c>
      <c r="G50" s="30" t="s">
        <v>53</v>
      </c>
      <c r="H50" s="30" t="s">
        <v>91</v>
      </c>
      <c r="I50" s="12" t="s">
        <v>92</v>
      </c>
      <c r="J50" s="39">
        <v>4</v>
      </c>
      <c r="K50" s="42">
        <f>691900</f>
        <v>691900</v>
      </c>
      <c r="L50" s="15">
        <v>0</v>
      </c>
      <c r="M50" s="15">
        <v>0</v>
      </c>
      <c r="N50" s="16">
        <f t="shared" si="6"/>
        <v>691900</v>
      </c>
      <c r="O50" s="17"/>
      <c r="P50" s="17"/>
      <c r="Q50" s="17"/>
      <c r="R50" s="16">
        <f t="shared" si="7"/>
        <v>691900</v>
      </c>
      <c r="S50" s="14">
        <v>0</v>
      </c>
      <c r="T50" s="18">
        <f t="shared" si="8"/>
        <v>0</v>
      </c>
      <c r="U50" s="41">
        <v>0</v>
      </c>
      <c r="V50" s="18">
        <f t="shared" si="9"/>
        <v>0</v>
      </c>
      <c r="W50" s="15">
        <v>0</v>
      </c>
      <c r="X50" s="18">
        <f t="shared" si="10"/>
        <v>0</v>
      </c>
      <c r="Y50" s="1"/>
      <c r="Z50" s="1"/>
      <c r="AA50" s="1"/>
    </row>
    <row r="51" spans="1:27">
      <c r="A51" s="11" t="s">
        <v>87</v>
      </c>
      <c r="B51" s="30" t="s">
        <v>88</v>
      </c>
      <c r="C51" s="30" t="s">
        <v>72</v>
      </c>
      <c r="D51" s="30" t="s">
        <v>73</v>
      </c>
      <c r="E51" s="12" t="s">
        <v>62</v>
      </c>
      <c r="F51" s="30" t="s">
        <v>114</v>
      </c>
      <c r="G51" s="30" t="s">
        <v>53</v>
      </c>
      <c r="H51" s="30" t="s">
        <v>91</v>
      </c>
      <c r="I51" s="12" t="s">
        <v>92</v>
      </c>
      <c r="J51" s="13">
        <v>3</v>
      </c>
      <c r="K51" s="24">
        <v>1255215</v>
      </c>
      <c r="L51" s="15">
        <v>144638.68</v>
      </c>
      <c r="M51" s="15">
        <v>144638.68</v>
      </c>
      <c r="N51" s="16">
        <f t="shared" si="6"/>
        <v>1255215</v>
      </c>
      <c r="O51" s="17"/>
      <c r="P51" s="17"/>
      <c r="Q51" s="17"/>
      <c r="R51" s="16">
        <f t="shared" si="7"/>
        <v>1255215</v>
      </c>
      <c r="S51" s="14">
        <v>297258.68</v>
      </c>
      <c r="T51" s="18">
        <f t="shared" si="8"/>
        <v>0.23681893540150492</v>
      </c>
      <c r="U51" s="19">
        <v>0</v>
      </c>
      <c r="V51" s="18">
        <f t="shared" si="9"/>
        <v>0</v>
      </c>
      <c r="W51" s="15">
        <v>0</v>
      </c>
      <c r="X51" s="18">
        <f t="shared" si="10"/>
        <v>0</v>
      </c>
      <c r="Y51" s="1"/>
      <c r="Z51" s="1"/>
      <c r="AA51" s="1"/>
    </row>
    <row r="52" spans="1:27">
      <c r="A52" s="11" t="s">
        <v>87</v>
      </c>
      <c r="B52" s="30" t="s">
        <v>88</v>
      </c>
      <c r="C52" s="30" t="s">
        <v>72</v>
      </c>
      <c r="D52" s="30" t="s">
        <v>115</v>
      </c>
      <c r="E52" s="12" t="s">
        <v>62</v>
      </c>
      <c r="F52" s="30" t="s">
        <v>76</v>
      </c>
      <c r="G52" s="30" t="s">
        <v>53</v>
      </c>
      <c r="H52" s="30" t="s">
        <v>116</v>
      </c>
      <c r="I52" s="30" t="s">
        <v>117</v>
      </c>
      <c r="J52" s="47">
        <v>3</v>
      </c>
      <c r="K52" s="24">
        <v>1175000</v>
      </c>
      <c r="L52" s="15">
        <v>10510</v>
      </c>
      <c r="M52" s="15">
        <v>10510</v>
      </c>
      <c r="N52" s="16">
        <f t="shared" si="6"/>
        <v>1175000</v>
      </c>
      <c r="O52" s="17"/>
      <c r="P52" s="17"/>
      <c r="Q52" s="17"/>
      <c r="R52" s="16">
        <f t="shared" si="7"/>
        <v>1175000</v>
      </c>
      <c r="S52" s="14">
        <v>23875</v>
      </c>
      <c r="T52" s="18">
        <f t="shared" si="8"/>
        <v>2.0319148936170213E-2</v>
      </c>
      <c r="U52" s="19">
        <v>0</v>
      </c>
      <c r="V52" s="18">
        <f t="shared" si="9"/>
        <v>0</v>
      </c>
      <c r="W52" s="15">
        <v>0</v>
      </c>
      <c r="X52" s="18">
        <f t="shared" si="10"/>
        <v>0</v>
      </c>
      <c r="Y52" s="1"/>
      <c r="Z52" s="1"/>
      <c r="AA52" s="1"/>
    </row>
    <row r="53" spans="1:27">
      <c r="A53" s="115" t="s">
        <v>118</v>
      </c>
      <c r="B53" s="96"/>
      <c r="C53" s="96"/>
      <c r="D53" s="96"/>
      <c r="E53" s="96"/>
      <c r="F53" s="96"/>
      <c r="G53" s="96"/>
      <c r="H53" s="96"/>
      <c r="I53" s="96"/>
      <c r="J53" s="97"/>
      <c r="K53" s="31">
        <f t="shared" ref="K53:S53" si="11">SUM(K30:K52)</f>
        <v>268375000</v>
      </c>
      <c r="L53" s="31">
        <f t="shared" si="11"/>
        <v>11381144.129999999</v>
      </c>
      <c r="M53" s="31">
        <f t="shared" si="11"/>
        <v>11381144.129999999</v>
      </c>
      <c r="N53" s="31">
        <f t="shared" si="11"/>
        <v>268375000</v>
      </c>
      <c r="O53" s="31">
        <f t="shared" si="11"/>
        <v>0</v>
      </c>
      <c r="P53" s="31">
        <f t="shared" si="11"/>
        <v>0</v>
      </c>
      <c r="Q53" s="31">
        <f t="shared" si="11"/>
        <v>0</v>
      </c>
      <c r="R53" s="31">
        <f t="shared" si="11"/>
        <v>268375000</v>
      </c>
      <c r="S53" s="31">
        <f t="shared" si="11"/>
        <v>119095775.72000001</v>
      </c>
      <c r="T53" s="32">
        <f t="shared" si="8"/>
        <v>0.44376628121099215</v>
      </c>
      <c r="U53" s="31">
        <f>SUM(U30:U52)</f>
        <v>1695920.3</v>
      </c>
      <c r="V53" s="32">
        <f t="shared" si="9"/>
        <v>6.3192186306474151E-3</v>
      </c>
      <c r="W53" s="31">
        <f>SUM(W30:W52)</f>
        <v>1513211.34</v>
      </c>
      <c r="X53" s="32">
        <f t="shared" si="10"/>
        <v>5.6384213879832326E-3</v>
      </c>
      <c r="Y53" s="1"/>
      <c r="Z53" s="1"/>
      <c r="AA53" s="1"/>
    </row>
    <row r="54" spans="1:27">
      <c r="A54" s="116" t="s">
        <v>119</v>
      </c>
      <c r="B54" s="96"/>
      <c r="C54" s="96"/>
      <c r="D54" s="96"/>
      <c r="E54" s="96"/>
      <c r="F54" s="96"/>
      <c r="G54" s="96"/>
      <c r="H54" s="96"/>
      <c r="I54" s="96"/>
      <c r="J54" s="97"/>
      <c r="K54" s="48">
        <f t="shared" ref="K54:S54" si="12">SUM(K27+K53)</f>
        <v>1368008000</v>
      </c>
      <c r="L54" s="48">
        <f t="shared" si="12"/>
        <v>16822052.25</v>
      </c>
      <c r="M54" s="48">
        <f t="shared" si="12"/>
        <v>16822052.25</v>
      </c>
      <c r="N54" s="48">
        <f t="shared" si="12"/>
        <v>1368008000</v>
      </c>
      <c r="O54" s="48">
        <f t="shared" si="12"/>
        <v>0</v>
      </c>
      <c r="P54" s="48">
        <f t="shared" si="12"/>
        <v>0</v>
      </c>
      <c r="Q54" s="48">
        <f t="shared" si="12"/>
        <v>-841802.61</v>
      </c>
      <c r="R54" s="48" t="e">
        <f t="shared" si="12"/>
        <v>#VALUE!</v>
      </c>
      <c r="S54" s="48">
        <f t="shared" si="12"/>
        <v>207619472.31000003</v>
      </c>
      <c r="T54" s="49" t="e">
        <f t="shared" si="8"/>
        <v>#VALUE!</v>
      </c>
      <c r="U54" s="48">
        <f>SUM(U27+U53)</f>
        <v>90052260.799999997</v>
      </c>
      <c r="V54" s="49" t="e">
        <f t="shared" si="9"/>
        <v>#VALUE!</v>
      </c>
      <c r="W54" s="48">
        <f>SUM(W27+W53)</f>
        <v>75580089.989999995</v>
      </c>
      <c r="X54" s="49" t="e">
        <f t="shared" si="10"/>
        <v>#VALUE!</v>
      </c>
      <c r="Y54" s="21"/>
      <c r="Z54" s="1"/>
      <c r="AA54" s="1"/>
    </row>
    <row r="55" spans="1:27">
      <c r="A55" s="50" t="s">
        <v>120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1"/>
      <c r="Z55" s="1"/>
      <c r="AA55" s="1"/>
    </row>
    <row r="56" spans="1:27">
      <c r="A56" s="50" t="s">
        <v>121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1"/>
      <c r="Z56" s="54"/>
      <c r="AA56" s="1"/>
    </row>
    <row r="57" spans="1:27">
      <c r="A57" s="117" t="s">
        <v>122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7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1"/>
      <c r="Z57" s="54"/>
      <c r="AA57" s="1"/>
    </row>
    <row r="58" spans="1:27">
      <c r="A58" s="55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53"/>
      <c r="O58" s="53"/>
      <c r="P58" s="53"/>
      <c r="Q58" s="1"/>
      <c r="R58" s="1"/>
      <c r="S58" s="1"/>
      <c r="T58" s="1"/>
      <c r="U58" s="1"/>
      <c r="V58" s="1"/>
      <c r="W58" s="1"/>
      <c r="X58" s="56"/>
      <c r="Y58" s="1"/>
      <c r="Z58" s="57"/>
      <c r="AA58" s="1"/>
    </row>
    <row r="59" spans="1:27">
      <c r="A59" s="118"/>
      <c r="B59" s="99"/>
      <c r="C59" s="99"/>
      <c r="D59" s="99"/>
      <c r="E59" s="99"/>
      <c r="F59" s="99"/>
      <c r="G59" s="99"/>
      <c r="H59" s="100"/>
      <c r="I59" s="1"/>
      <c r="J59" s="1"/>
      <c r="K59" s="1"/>
      <c r="L59" s="1"/>
      <c r="M59" s="1"/>
      <c r="N59" s="53"/>
      <c r="O59" s="53"/>
      <c r="P59" s="53"/>
      <c r="Q59" s="1"/>
      <c r="R59" s="1"/>
      <c r="S59" s="1"/>
      <c r="T59" s="1"/>
      <c r="U59" s="1"/>
      <c r="V59" s="1"/>
      <c r="W59" s="1"/>
      <c r="X59" s="56"/>
      <c r="Y59" s="1"/>
      <c r="Z59" s="57"/>
      <c r="AA59" s="1"/>
    </row>
    <row r="60" spans="1:27">
      <c r="A60" s="119"/>
      <c r="B60" s="103"/>
      <c r="C60" s="103"/>
      <c r="D60" s="103"/>
      <c r="E60" s="103"/>
      <c r="F60" s="103"/>
      <c r="G60" s="103"/>
      <c r="H60" s="104"/>
      <c r="I60" s="53"/>
      <c r="J60" s="53"/>
      <c r="K60" s="58"/>
      <c r="L60" s="58"/>
      <c r="M60" s="58"/>
      <c r="N60" s="58"/>
      <c r="O60" s="58"/>
      <c r="P60" s="58"/>
      <c r="Q60" s="1"/>
      <c r="R60" s="1"/>
      <c r="S60" s="1"/>
      <c r="T60" s="1"/>
      <c r="U60" s="59"/>
      <c r="V60" s="1"/>
      <c r="W60" s="54"/>
      <c r="X60" s="56"/>
      <c r="Y60" s="21"/>
      <c r="Z60" s="1"/>
      <c r="AA60" s="1"/>
    </row>
    <row r="61" spans="1:27">
      <c r="A61" s="120"/>
      <c r="B61" s="121"/>
      <c r="C61" s="121"/>
      <c r="D61" s="121"/>
      <c r="E61" s="121"/>
      <c r="F61" s="121"/>
      <c r="G61" s="121"/>
      <c r="H61" s="122"/>
      <c r="I61" s="53"/>
      <c r="J61" s="53"/>
      <c r="K61" s="58"/>
      <c r="L61" s="58"/>
      <c r="M61" s="58"/>
      <c r="N61" s="58"/>
      <c r="O61" s="58"/>
      <c r="P61" s="58"/>
      <c r="Q61" s="1"/>
      <c r="R61" s="1"/>
      <c r="S61" s="1"/>
      <c r="T61" s="1"/>
      <c r="U61" s="54"/>
      <c r="V61" s="1"/>
      <c r="W61" s="1"/>
      <c r="X61" s="56"/>
      <c r="Y61" s="21"/>
      <c r="Z61" s="1"/>
      <c r="AA61" s="1"/>
    </row>
    <row r="62" spans="1:2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8"/>
      <c r="L62" s="58"/>
      <c r="M62" s="58"/>
      <c r="N62" s="58"/>
      <c r="O62" s="58"/>
      <c r="P62" s="58"/>
      <c r="Q62" s="1"/>
      <c r="R62" s="1"/>
      <c r="S62" s="1"/>
      <c r="T62" s="1"/>
      <c r="U62" s="57"/>
      <c r="V62" s="1"/>
      <c r="W62" s="54"/>
      <c r="X62" s="56"/>
      <c r="Y62" s="21"/>
      <c r="Z62" s="1"/>
      <c r="AA62" s="1"/>
    </row>
    <row r="63" spans="1:27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8"/>
      <c r="L63" s="58"/>
      <c r="M63" s="58"/>
      <c r="N63" s="58"/>
      <c r="O63" s="58"/>
      <c r="P63" s="58"/>
      <c r="Q63" s="1"/>
      <c r="R63" s="1"/>
      <c r="S63" s="1"/>
      <c r="T63" s="1"/>
      <c r="U63" s="57"/>
      <c r="V63" s="1"/>
      <c r="W63" s="1"/>
      <c r="X63" s="56"/>
      <c r="Y63" s="21"/>
      <c r="Z63" s="1"/>
      <c r="AA63" s="1"/>
    </row>
    <row r="64" spans="1:27">
      <c r="A64" s="60"/>
      <c r="B64" s="60"/>
      <c r="C64" s="60"/>
      <c r="D64" s="60"/>
      <c r="E64" s="60"/>
      <c r="F64" s="60"/>
      <c r="G64" s="53"/>
      <c r="H64" s="53"/>
      <c r="I64" s="53"/>
      <c r="J64" s="53"/>
      <c r="K64" s="58"/>
      <c r="L64" s="53"/>
      <c r="M64" s="53"/>
      <c r="N64" s="53"/>
      <c r="O64" s="53"/>
      <c r="P64" s="53"/>
      <c r="Q64" s="1"/>
      <c r="R64" s="1"/>
      <c r="S64" s="1"/>
      <c r="T64" s="1"/>
      <c r="U64" s="57"/>
      <c r="V64" s="1"/>
      <c r="W64" s="1"/>
      <c r="X64" s="53"/>
      <c r="Y64" s="1"/>
      <c r="Z64" s="1"/>
      <c r="AA64" s="1"/>
    </row>
    <row r="65" spans="1:27">
      <c r="A65" s="60"/>
      <c r="B65" s="60"/>
      <c r="C65" s="60"/>
      <c r="D65" s="60"/>
      <c r="E65" s="60"/>
      <c r="F65" s="60"/>
      <c r="G65" s="53"/>
      <c r="H65" s="53"/>
      <c r="I65" s="53"/>
      <c r="J65" s="53"/>
      <c r="K65" s="58"/>
      <c r="L65" s="53"/>
      <c r="M65" s="53"/>
      <c r="N65" s="53"/>
      <c r="O65" s="53"/>
      <c r="P65" s="53"/>
      <c r="Q65" s="1"/>
      <c r="R65" s="1"/>
      <c r="S65" s="1"/>
      <c r="T65" s="1"/>
      <c r="U65" s="1"/>
      <c r="V65" s="1"/>
      <c r="W65" s="1"/>
      <c r="X65" s="53"/>
      <c r="Y65" s="1"/>
      <c r="Z65" s="1"/>
      <c r="AA65" s="1"/>
    </row>
    <row r="66" spans="1:27" ht="15.75" customHeight="1">
      <c r="A66" s="60"/>
      <c r="B66" s="60"/>
      <c r="C66" s="60"/>
      <c r="D66" s="60"/>
      <c r="E66" s="60"/>
      <c r="F66" s="60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61" t="s">
        <v>33</v>
      </c>
      <c r="R66" s="62"/>
      <c r="S66" s="1"/>
      <c r="T66" s="61" t="s">
        <v>34</v>
      </c>
      <c r="U66" s="62"/>
      <c r="V66" s="56"/>
      <c r="W66" s="63" t="s">
        <v>124</v>
      </c>
      <c r="X66" s="53"/>
      <c r="Y66" s="57"/>
      <c r="Z66" s="1"/>
      <c r="AA66" s="1"/>
    </row>
    <row r="67" spans="1:27">
      <c r="A67" s="60"/>
      <c r="B67" s="60"/>
      <c r="C67" s="60"/>
      <c r="D67" s="60"/>
      <c r="E67" s="60"/>
      <c r="F67" s="60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64">
        <v>1</v>
      </c>
      <c r="R67" s="65">
        <v>0</v>
      </c>
      <c r="S67" s="56"/>
      <c r="T67" s="66">
        <v>1</v>
      </c>
      <c r="U67" s="67">
        <f>U16+U19+U20+U22+U23+U24+U26</f>
        <v>75343830.680000007</v>
      </c>
      <c r="V67" s="56"/>
      <c r="W67" s="68">
        <f t="shared" ref="W67:W69" si="13">U67-R67</f>
        <v>75343830.680000007</v>
      </c>
      <c r="X67" s="53"/>
      <c r="Y67" s="57"/>
      <c r="Z67" s="1"/>
      <c r="AA67" s="1"/>
    </row>
    <row r="68" spans="1:27">
      <c r="A68" s="1"/>
      <c r="B68" s="69"/>
      <c r="C68" s="69"/>
      <c r="D68" s="69"/>
      <c r="E68" s="1"/>
      <c r="F68" s="1"/>
      <c r="G68" s="1"/>
      <c r="H68" s="1"/>
      <c r="I68" s="1"/>
      <c r="J68" s="53"/>
      <c r="K68" s="1"/>
      <c r="L68" s="1"/>
      <c r="M68" s="1"/>
      <c r="N68" s="1"/>
      <c r="O68" s="1"/>
      <c r="P68" s="1"/>
      <c r="Q68" s="70">
        <v>3</v>
      </c>
      <c r="R68" s="71">
        <v>0</v>
      </c>
      <c r="S68" s="57"/>
      <c r="T68" s="72">
        <v>3</v>
      </c>
      <c r="U68" s="73">
        <f>U14+U15+U17+U18+U21+U25+U35+U37+U41+U42+U43+U45+U46+U47+U49+U51+U52</f>
        <v>14708430.120000001</v>
      </c>
      <c r="V68" s="56"/>
      <c r="W68" s="74">
        <f t="shared" si="13"/>
        <v>14708430.120000001</v>
      </c>
      <c r="X68" s="1"/>
      <c r="Y68" s="57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5">
        <v>4</v>
      </c>
      <c r="R69" s="76">
        <v>0</v>
      </c>
      <c r="S69" s="57"/>
      <c r="T69" s="77">
        <v>4</v>
      </c>
      <c r="U69" s="78">
        <f>U50+U48+U44+U40+U39+U38+U36+U34+U33+U32+U31+U30</f>
        <v>0</v>
      </c>
      <c r="V69" s="53"/>
      <c r="W69" s="79">
        <f t="shared" si="13"/>
        <v>0</v>
      </c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23" t="s">
        <v>125</v>
      </c>
      <c r="L70" s="124"/>
      <c r="M70" s="124"/>
      <c r="N70" s="125"/>
      <c r="O70" s="1"/>
      <c r="P70" s="1"/>
      <c r="Q70" s="109" t="s">
        <v>126</v>
      </c>
      <c r="R70" s="97"/>
      <c r="S70" s="53"/>
      <c r="T70" s="110" t="s">
        <v>127</v>
      </c>
      <c r="U70" s="97"/>
      <c r="V70" s="53"/>
      <c r="W70" s="56"/>
      <c r="X70" s="1"/>
      <c r="Y70" s="1"/>
      <c r="Z70" s="1"/>
      <c r="AA70" s="1"/>
    </row>
    <row r="71" spans="1:27">
      <c r="A71" s="1"/>
      <c r="B71" s="1"/>
      <c r="C71" s="1" t="s">
        <v>128</v>
      </c>
      <c r="D71" s="1"/>
      <c r="E71" s="1"/>
      <c r="F71" s="126" t="s">
        <v>129</v>
      </c>
      <c r="G71" s="103"/>
      <c r="H71" s="103"/>
      <c r="I71" s="103"/>
      <c r="J71" s="1"/>
      <c r="K71" s="80"/>
      <c r="L71" s="80"/>
      <c r="M71" s="80"/>
      <c r="N71" s="80"/>
      <c r="O71" s="1"/>
      <c r="P71" s="1"/>
      <c r="Q71" s="53"/>
      <c r="R71" s="53"/>
      <c r="S71" s="53"/>
      <c r="T71" s="6"/>
      <c r="U71" s="56"/>
      <c r="V71" s="53"/>
      <c r="W71" s="1"/>
      <c r="X71" s="57"/>
      <c r="Y71" s="1"/>
      <c r="Z71" s="1"/>
      <c r="AA71" s="1"/>
    </row>
    <row r="72" spans="1:27">
      <c r="A72" s="1"/>
      <c r="B72" s="1"/>
      <c r="C72" s="1" t="s">
        <v>130</v>
      </c>
      <c r="D72" s="1"/>
      <c r="E72" s="1"/>
      <c r="F72" s="1" t="s">
        <v>130</v>
      </c>
      <c r="G72" s="1"/>
      <c r="H72" s="1"/>
      <c r="I72" s="1"/>
      <c r="J72" s="1"/>
      <c r="K72" s="80"/>
      <c r="L72" s="80" t="s">
        <v>130</v>
      </c>
      <c r="M72" s="80"/>
      <c r="N72" s="80"/>
      <c r="O72" s="1"/>
      <c r="P72" s="1"/>
      <c r="Q72" s="1"/>
      <c r="R72" s="1"/>
      <c r="S72" s="1"/>
      <c r="T72" s="81" t="s">
        <v>131</v>
      </c>
      <c r="U72" s="82">
        <f>SUM(U67:U69)</f>
        <v>90052260.800000012</v>
      </c>
      <c r="V72" s="1"/>
      <c r="W72" s="54">
        <f>SUM(W67:W71)</f>
        <v>90052260.800000012</v>
      </c>
      <c r="X72" s="57"/>
      <c r="Y72" s="57"/>
      <c r="Z72" s="1"/>
      <c r="AA72" s="1"/>
    </row>
    <row r="73" spans="1:27">
      <c r="A73" s="1"/>
      <c r="B73" s="1"/>
      <c r="C73" s="59">
        <v>1</v>
      </c>
      <c r="D73" s="83" t="e">
        <f>W16+#REF!+W19+W20+W22+W24+#REF!+W26+#REF!</f>
        <v>#REF!</v>
      </c>
      <c r="E73" s="1"/>
      <c r="F73" s="59">
        <v>1</v>
      </c>
      <c r="G73" s="83" t="e">
        <f>S16+#REF!+S19+S20+S22+S24+#REF!+S26+#REF!</f>
        <v>#REF!</v>
      </c>
      <c r="H73" s="1"/>
      <c r="I73" s="1"/>
      <c r="J73" s="1"/>
      <c r="K73" s="84" t="s">
        <v>132</v>
      </c>
      <c r="L73" s="85">
        <v>1</v>
      </c>
      <c r="M73" s="86" t="e">
        <f>L16+#REF!+L19+L20+L22+L24+#REF!+L26+#REF!</f>
        <v>#REF!</v>
      </c>
      <c r="N73" s="87" t="e">
        <f>M73-M74+Q54</f>
        <v>#REF!</v>
      </c>
      <c r="O73" s="1"/>
      <c r="P73" s="1"/>
      <c r="Q73" s="1"/>
      <c r="R73" s="57"/>
      <c r="S73" s="1"/>
      <c r="T73" s="1"/>
      <c r="U73" s="1"/>
      <c r="V73" s="1"/>
      <c r="W73" s="1"/>
      <c r="X73" s="57"/>
      <c r="Y73" s="1"/>
      <c r="Z73" s="1"/>
      <c r="AA73" s="1"/>
    </row>
    <row r="74" spans="1:27">
      <c r="A74" s="1"/>
      <c r="B74" s="1"/>
      <c r="C74" s="59">
        <v>3</v>
      </c>
      <c r="D74" s="83" t="e">
        <f>W14+W15+W17+W21+#REF!+W25+#REF!+#REF!+#REF!+W35+#REF!+W37+#REF!+W40+#REF!+W42+#REF!+W43+#REF!+#REF!+#REF!+W46+#REF!+W47+#REF!+W49+W51+#REF!</f>
        <v>#REF!</v>
      </c>
      <c r="E74" s="1"/>
      <c r="F74" s="59">
        <v>3</v>
      </c>
      <c r="G74" s="83" t="e">
        <f>S14+S15+S17+S21+#REF!+S25+#REF!+#REF!+#REF!+S35+#REF!+S37+#REF!+S40+#REF!+S42+#REF!+S43+#REF!+#REF!+#REF!+S46+#REF!+S47+#REF!+S49+S51+#REF!</f>
        <v>#REF!</v>
      </c>
      <c r="H74" s="1"/>
      <c r="I74" s="1"/>
      <c r="J74" s="1"/>
      <c r="K74" s="80" t="s">
        <v>133</v>
      </c>
      <c r="L74" s="88">
        <v>1</v>
      </c>
      <c r="M74" s="89" t="e">
        <f>M16+#REF!+M19+M20+M22+M24+#REF!+M26+#REF!</f>
        <v>#REF!</v>
      </c>
      <c r="N74" s="80"/>
      <c r="O74" s="1"/>
      <c r="P74" s="1"/>
      <c r="Q74" s="1"/>
      <c r="R74" s="57"/>
      <c r="S74" s="1"/>
      <c r="T74" s="1"/>
      <c r="U74" s="1"/>
      <c r="V74" s="1"/>
      <c r="W74" s="1"/>
      <c r="X74" s="57"/>
      <c r="Y74" s="57"/>
      <c r="Z74" s="1"/>
      <c r="AA74" s="1"/>
    </row>
    <row r="75" spans="1:27">
      <c r="A75" s="1"/>
      <c r="B75" s="1"/>
      <c r="C75" s="59">
        <v>4</v>
      </c>
      <c r="D75" s="90" t="e">
        <f>#REF!+#REF!+#REF!+#REF!+#REF!+#REF!+W36+W38+W41+#REF!+W44+#REF!+W48+#REF!+W50+#REF!</f>
        <v>#REF!</v>
      </c>
      <c r="E75" s="1"/>
      <c r="F75" s="59">
        <v>4</v>
      </c>
      <c r="G75" s="83" t="e">
        <f>#REF!+#REF!+#REF!+#REF!+#REF!+#REF!+S36+S38+S41+#REF!+S44+#REF!+S48+#REF!+S50+#REF!</f>
        <v>#REF!</v>
      </c>
      <c r="H75" s="1"/>
      <c r="I75" s="1"/>
      <c r="J75" s="1"/>
      <c r="K75" s="80"/>
      <c r="L75" s="80"/>
      <c r="M75" s="80"/>
      <c r="N75" s="80"/>
      <c r="O75" s="1"/>
      <c r="P75" s="1"/>
      <c r="Q75" s="1"/>
      <c r="R75" s="57"/>
      <c r="S75" s="1"/>
      <c r="T75" s="91" t="s">
        <v>134</v>
      </c>
      <c r="U75" s="92" t="e">
        <f>U14+U15+U17+U21+#REF!+U25</f>
        <v>#REF!</v>
      </c>
      <c r="V75" s="1"/>
      <c r="W75" s="57"/>
      <c r="X75" s="57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80"/>
      <c r="L76" s="80"/>
      <c r="M76" s="87" t="e">
        <f>M73-M74</f>
        <v>#REF!</v>
      </c>
      <c r="N76" s="80"/>
      <c r="O76" s="1"/>
      <c r="P76" s="1"/>
      <c r="Q76" s="1"/>
      <c r="R76" s="1"/>
      <c r="S76" s="1"/>
      <c r="T76" s="91" t="s">
        <v>135</v>
      </c>
      <c r="U76" s="92" t="e">
        <f>#REF!+#REF!+#REF!+U38+U40+U42+U43+U44+#REF!+#REF!</f>
        <v>#REF!</v>
      </c>
      <c r="V76" s="57"/>
      <c r="W76" s="57"/>
      <c r="X76" s="57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80"/>
      <c r="L77" s="80"/>
      <c r="M77" s="80"/>
      <c r="N77" s="80"/>
      <c r="O77" s="1"/>
      <c r="P77" s="1"/>
      <c r="Q77" s="1"/>
      <c r="R77" s="1"/>
      <c r="S77" s="1"/>
      <c r="T77" s="91" t="s">
        <v>131</v>
      </c>
      <c r="U77" s="92" t="e">
        <f>U75+U76</f>
        <v>#REF!</v>
      </c>
      <c r="V77" s="57"/>
      <c r="W77" s="57"/>
      <c r="X77" s="57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80"/>
      <c r="L78" s="80" t="s">
        <v>136</v>
      </c>
      <c r="M78" s="80"/>
      <c r="N78" s="80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84" t="s">
        <v>132</v>
      </c>
      <c r="L79" s="85">
        <v>3</v>
      </c>
      <c r="M79" s="86" t="e">
        <f>L14+L15+L17+L21+#REF!+L25+#REF!+#REF!+#REF!+L35+#REF!+L37+#REF!+L40+#REF!+L42+#REF!+L43+#REF!+#REF!+#REF!+L46+#REF!+L47+#REF!+L49+L51+#REF!</f>
        <v>#REF!</v>
      </c>
      <c r="N79" s="87" t="e">
        <f>M79-M80</f>
        <v>#REF!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80" t="s">
        <v>137</v>
      </c>
      <c r="L80" s="88">
        <v>3</v>
      </c>
      <c r="M80" s="89" t="e">
        <f>M14+M15+M17+M21+#REF!+M25+#REF!+#REF!+#REF!+M35+#REF!+M37+#REF!+M40+#REF!+M42+#REF!+M43+#REF!+#REF!+#REF!+M46+#REF!+M47+#REF!+M49+M51+#REF!</f>
        <v>#REF!</v>
      </c>
      <c r="N80" s="8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57"/>
      <c r="E81" s="1"/>
      <c r="F81" s="1"/>
      <c r="G81" s="1"/>
      <c r="H81" s="1"/>
      <c r="I81" s="1"/>
      <c r="J81" s="1"/>
      <c r="K81" s="80"/>
      <c r="L81" s="80"/>
      <c r="M81" s="80"/>
      <c r="N81" s="8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80"/>
      <c r="L82" s="80"/>
      <c r="M82" s="87" t="e">
        <f>M79-M80</f>
        <v>#REF!</v>
      </c>
      <c r="N82" s="8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80"/>
      <c r="L83" s="80"/>
      <c r="M83" s="80"/>
      <c r="N83" s="8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80"/>
      <c r="L84" s="80" t="s">
        <v>130</v>
      </c>
      <c r="M84" s="80"/>
      <c r="N84" s="8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84" t="s">
        <v>138</v>
      </c>
      <c r="L85" s="85">
        <v>4</v>
      </c>
      <c r="M85" s="86" t="e">
        <f>#REF!+#REF!+#REF!+#REF!+#REF!+#REF!+L36+L38+L41+#REF!+L44+#REF!+L48+#REF!+L50+#REF!</f>
        <v>#REF!</v>
      </c>
      <c r="N85" s="87" t="e">
        <f>M85-M86</f>
        <v>#REF!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80" t="s">
        <v>139</v>
      </c>
      <c r="L86" s="88">
        <v>4</v>
      </c>
      <c r="M86" s="89" t="e">
        <f>#REF!+#REF!+#REF!+#REF!+#REF!+#REF!+M36+M38+M41+#REF!+M44+#REF!+M48+#REF!+M50+#REF!</f>
        <v>#REF!</v>
      </c>
      <c r="N86" s="80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80"/>
      <c r="L87" s="80"/>
      <c r="M87" s="80"/>
      <c r="N87" s="9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94" t="e">
        <f>M85-M86</f>
        <v>#REF!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94" t="e">
        <f>N73+N79+N85</f>
        <v>#REF!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33">
    <mergeCell ref="F71:I71"/>
    <mergeCell ref="A11:J11"/>
    <mergeCell ref="A12:B12"/>
    <mergeCell ref="C12:C13"/>
    <mergeCell ref="D12:D13"/>
    <mergeCell ref="E12:F12"/>
    <mergeCell ref="G12:G13"/>
    <mergeCell ref="H12:I12"/>
    <mergeCell ref="T70:U70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3:J53"/>
    <mergeCell ref="A54:J54"/>
    <mergeCell ref="A57:M57"/>
    <mergeCell ref="A59:H61"/>
    <mergeCell ref="K70:N70"/>
    <mergeCell ref="A6:F6"/>
    <mergeCell ref="A7:F7"/>
    <mergeCell ref="P11:Q11"/>
    <mergeCell ref="R11:R12"/>
    <mergeCell ref="Q70:R70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8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2025-02-20T18:09:31Z</dcterms:modified>
</cp:coreProperties>
</file>