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AFFFFDA-4EFE-4671-A95F-326CD9CEF4F7}" xr6:coauthVersionLast="47" xr6:coauthVersionMax="47" xr10:uidLastSave="{00000000-0000-0000-0000-000000000000}"/>
  <bookViews>
    <workbookView xWindow="-20610" yWindow="4485" windowWidth="20730" windowHeight="11040" firstSheet="3" activeTab="3" xr2:uid="{00000000-000D-0000-FFFF-FFFF00000000}"/>
  </bookViews>
  <sheets>
    <sheet name="JULHO 2022" sheetId="13" r:id="rId1"/>
    <sheet name="JULHO 2023" sheetId="14" r:id="rId2"/>
    <sheet name="AGOSTO 2022" sheetId="15" r:id="rId3"/>
    <sheet name="JANEIRO 24" sheetId="25" r:id="rId4"/>
  </sheets>
  <definedNames>
    <definedName name="_xlnm.Print_Area" localSheetId="3">'JANEIRO 24'!$A$1:$X$59</definedName>
  </definedNames>
  <calcPr calcId="181029"/>
  <extLst>
    <ext uri="GoogleSheetsCustomDataVersion2">
      <go:sheetsCustomData xmlns:go="http://customooxmlschemas.google.com/" r:id="rId30" roundtripDataChecksum="7OA0ZwmjL8E9LAXxhAfK8C3896i3TOyTn8isRjyCpt8="/>
    </ext>
  </extLst>
</workbook>
</file>

<file path=xl/calcChain.xml><?xml version="1.0" encoding="utf-8"?>
<calcChain xmlns="http://schemas.openxmlformats.org/spreadsheetml/2006/main">
  <c r="W54" i="25" l="1"/>
  <c r="Q54" i="25"/>
  <c r="P54" i="25"/>
  <c r="O54" i="25"/>
  <c r="M54" i="25"/>
  <c r="L54" i="25"/>
  <c r="N53" i="25"/>
  <c r="R53" i="25" s="1"/>
  <c r="N52" i="25"/>
  <c r="R52" i="25" s="1"/>
  <c r="N51" i="25"/>
  <c r="R51" i="25" s="1"/>
  <c r="N50" i="25"/>
  <c r="R50" i="25" s="1"/>
  <c r="X49" i="25"/>
  <c r="V49" i="25"/>
  <c r="S49" i="25"/>
  <c r="N49" i="25"/>
  <c r="R49" i="25" s="1"/>
  <c r="T49" i="25" s="1"/>
  <c r="S48" i="25"/>
  <c r="K48" i="25"/>
  <c r="N47" i="25"/>
  <c r="R47" i="25" s="1"/>
  <c r="X47" i="25" s="1"/>
  <c r="K46" i="25"/>
  <c r="N46" i="25" s="1"/>
  <c r="R46" i="25" s="1"/>
  <c r="N45" i="25"/>
  <c r="R45" i="25" s="1"/>
  <c r="N44" i="25"/>
  <c r="R44" i="25" s="1"/>
  <c r="T44" i="25" s="1"/>
  <c r="N43" i="25"/>
  <c r="R43" i="25" s="1"/>
  <c r="V43" i="25" s="1"/>
  <c r="K42" i="25"/>
  <c r="N42" i="25" s="1"/>
  <c r="R42" i="25" s="1"/>
  <c r="N41" i="25"/>
  <c r="R41" i="25" s="1"/>
  <c r="N40" i="25"/>
  <c r="R40" i="25" s="1"/>
  <c r="N39" i="25"/>
  <c r="R39" i="25" s="1"/>
  <c r="V39" i="25" s="1"/>
  <c r="N38" i="25"/>
  <c r="R38" i="25" s="1"/>
  <c r="N37" i="25"/>
  <c r="R37" i="25" s="1"/>
  <c r="N36" i="25"/>
  <c r="R36" i="25" s="1"/>
  <c r="N35" i="25"/>
  <c r="R35" i="25" s="1"/>
  <c r="U34" i="25"/>
  <c r="S34" i="25"/>
  <c r="S54" i="25" s="1"/>
  <c r="K34" i="25"/>
  <c r="N34" i="25" s="1"/>
  <c r="R34" i="25" s="1"/>
  <c r="N33" i="25"/>
  <c r="R33" i="25" s="1"/>
  <c r="N32" i="25"/>
  <c r="R32" i="25" s="1"/>
  <c r="T32" i="25" s="1"/>
  <c r="N31" i="25"/>
  <c r="R31" i="25" s="1"/>
  <c r="T31" i="25" s="1"/>
  <c r="N30" i="25"/>
  <c r="W27" i="25"/>
  <c r="W55" i="25" s="1"/>
  <c r="Q27" i="25"/>
  <c r="Q55" i="25" s="1"/>
  <c r="P27" i="25"/>
  <c r="O27" i="25"/>
  <c r="M27" i="25"/>
  <c r="L27" i="25"/>
  <c r="L55" i="25" s="1"/>
  <c r="K27" i="25"/>
  <c r="N26" i="25"/>
  <c r="R26" i="25" s="1"/>
  <c r="V26" i="25" s="1"/>
  <c r="N25" i="25"/>
  <c r="R25" i="25" s="1"/>
  <c r="W24" i="25"/>
  <c r="U24" i="25"/>
  <c r="U27" i="25" s="1"/>
  <c r="S24" i="25"/>
  <c r="K24" i="25"/>
  <c r="N24" i="25" s="1"/>
  <c r="R24" i="25" s="1"/>
  <c r="N23" i="25"/>
  <c r="R23" i="25" s="1"/>
  <c r="N22" i="25"/>
  <c r="R22" i="25" s="1"/>
  <c r="V22" i="25" s="1"/>
  <c r="N21" i="25"/>
  <c r="R21" i="25" s="1"/>
  <c r="V21" i="25" s="1"/>
  <c r="R20" i="25"/>
  <c r="X20" i="25" s="1"/>
  <c r="N20" i="25"/>
  <c r="N19" i="25"/>
  <c r="R19" i="25" s="1"/>
  <c r="X19" i="25" s="1"/>
  <c r="N18" i="25"/>
  <c r="R18" i="25" s="1"/>
  <c r="N17" i="25"/>
  <c r="R17" i="25" s="1"/>
  <c r="N16" i="25"/>
  <c r="R16" i="25" s="1"/>
  <c r="V16" i="25" s="1"/>
  <c r="N15" i="25"/>
  <c r="R15" i="25" s="1"/>
  <c r="V15" i="25" s="1"/>
  <c r="N14" i="25"/>
  <c r="P82" i="15"/>
  <c r="Q81" i="15"/>
  <c r="P81" i="15"/>
  <c r="O81" i="15"/>
  <c r="N80" i="15"/>
  <c r="R80" i="15" s="1"/>
  <c r="V79" i="15"/>
  <c r="N79" i="15"/>
  <c r="R79" i="15" s="1"/>
  <c r="T78" i="15"/>
  <c r="N78" i="15"/>
  <c r="R78" i="15" s="1"/>
  <c r="S77" i="15"/>
  <c r="N77" i="15"/>
  <c r="R77" i="15" s="1"/>
  <c r="S76" i="15"/>
  <c r="R76" i="15"/>
  <c r="N76" i="15"/>
  <c r="R75" i="15"/>
  <c r="N75" i="15"/>
  <c r="S74" i="15"/>
  <c r="S73" i="15" s="1"/>
  <c r="N74" i="15"/>
  <c r="R74" i="15" s="1"/>
  <c r="M74" i="15"/>
  <c r="M73" i="15" s="1"/>
  <c r="W73" i="15"/>
  <c r="U73" i="15"/>
  <c r="L73" i="15"/>
  <c r="K73" i="15"/>
  <c r="W72" i="15"/>
  <c r="U72" i="15"/>
  <c r="U71" i="15" s="1"/>
  <c r="S72" i="15"/>
  <c r="N72" i="15"/>
  <c r="R72" i="15" s="1"/>
  <c r="W71" i="15"/>
  <c r="S71" i="15"/>
  <c r="L71" i="15"/>
  <c r="N71" i="15" s="1"/>
  <c r="R71" i="15" s="1"/>
  <c r="X71" i="15" s="1"/>
  <c r="T70" i="15"/>
  <c r="N70" i="15"/>
  <c r="R70" i="15" s="1"/>
  <c r="R69" i="15"/>
  <c r="T69" i="15" s="1"/>
  <c r="N69" i="15"/>
  <c r="W68" i="15"/>
  <c r="U68" i="15"/>
  <c r="S68" i="15"/>
  <c r="M68" i="15"/>
  <c r="M81" i="15" s="1"/>
  <c r="K68" i="15"/>
  <c r="N68" i="15" s="1"/>
  <c r="R68" i="15" s="1"/>
  <c r="V67" i="15"/>
  <c r="R67" i="15"/>
  <c r="N67" i="15"/>
  <c r="N66" i="15"/>
  <c r="R66" i="15" s="1"/>
  <c r="R65" i="15"/>
  <c r="N65" i="15"/>
  <c r="X64" i="15"/>
  <c r="R64" i="15"/>
  <c r="N64" i="15"/>
  <c r="W63" i="15"/>
  <c r="W62" i="15" s="1"/>
  <c r="U63" i="15"/>
  <c r="U62" i="15" s="1"/>
  <c r="S63" i="15"/>
  <c r="S62" i="15" s="1"/>
  <c r="R63" i="15"/>
  <c r="N63" i="15"/>
  <c r="N62" i="15"/>
  <c r="R62" i="15" s="1"/>
  <c r="L62" i="15"/>
  <c r="W61" i="15"/>
  <c r="V61" i="15"/>
  <c r="U61" i="15"/>
  <c r="S61" i="15"/>
  <c r="S60" i="15" s="1"/>
  <c r="N61" i="15"/>
  <c r="R61" i="15" s="1"/>
  <c r="W60" i="15"/>
  <c r="U60" i="15"/>
  <c r="U102" i="15" s="1"/>
  <c r="T60" i="15"/>
  <c r="L60" i="15"/>
  <c r="K60" i="15"/>
  <c r="N60" i="15" s="1"/>
  <c r="R60" i="15" s="1"/>
  <c r="T59" i="15"/>
  <c r="R59" i="15"/>
  <c r="N59" i="15"/>
  <c r="X58" i="15"/>
  <c r="T58" i="15"/>
  <c r="R58" i="15"/>
  <c r="V58" i="15" s="1"/>
  <c r="N58" i="15"/>
  <c r="N57" i="15"/>
  <c r="R57" i="15" s="1"/>
  <c r="V56" i="15"/>
  <c r="N56" i="15"/>
  <c r="R56" i="15" s="1"/>
  <c r="R55" i="15"/>
  <c r="N55" i="15"/>
  <c r="R54" i="15"/>
  <c r="N54" i="15"/>
  <c r="X53" i="15"/>
  <c r="V53" i="15"/>
  <c r="N53" i="15"/>
  <c r="R53" i="15" s="1"/>
  <c r="T53" i="15" s="1"/>
  <c r="R52" i="15"/>
  <c r="N52" i="15"/>
  <c r="N51" i="15"/>
  <c r="R51" i="15" s="1"/>
  <c r="T50" i="15"/>
  <c r="N50" i="15"/>
  <c r="R50" i="15" s="1"/>
  <c r="R49" i="15"/>
  <c r="V49" i="15" s="1"/>
  <c r="N49" i="15"/>
  <c r="N48" i="15"/>
  <c r="R48" i="15" s="1"/>
  <c r="W47" i="15"/>
  <c r="W46" i="15" s="1"/>
  <c r="U47" i="15"/>
  <c r="S47" i="15"/>
  <c r="S46" i="15" s="1"/>
  <c r="N47" i="15"/>
  <c r="R47" i="15" s="1"/>
  <c r="L47" i="15"/>
  <c r="L46" i="15"/>
  <c r="W45" i="15"/>
  <c r="V45" i="15"/>
  <c r="U45" i="15"/>
  <c r="S45" i="15"/>
  <c r="N45" i="15"/>
  <c r="R45" i="15" s="1"/>
  <c r="T45" i="15" s="1"/>
  <c r="K45" i="15"/>
  <c r="W44" i="15"/>
  <c r="V44" i="15"/>
  <c r="U44" i="15"/>
  <c r="T44" i="15"/>
  <c r="S44" i="15"/>
  <c r="S81" i="15" s="1"/>
  <c r="K44" i="15"/>
  <c r="N44" i="15" s="1"/>
  <c r="R44" i="15" s="1"/>
  <c r="X44" i="15" s="1"/>
  <c r="R43" i="15"/>
  <c r="N43" i="15"/>
  <c r="R42" i="15"/>
  <c r="N42" i="15"/>
  <c r="V41" i="15"/>
  <c r="R41" i="15"/>
  <c r="N41" i="15"/>
  <c r="T40" i="15"/>
  <c r="R40" i="15"/>
  <c r="V40" i="15" s="1"/>
  <c r="N40" i="15"/>
  <c r="S39" i="15"/>
  <c r="N39" i="15"/>
  <c r="R39" i="15" s="1"/>
  <c r="N38" i="15"/>
  <c r="R38" i="15" s="1"/>
  <c r="X38" i="15" s="1"/>
  <c r="V37" i="15"/>
  <c r="N37" i="15"/>
  <c r="R37" i="15" s="1"/>
  <c r="R36" i="15"/>
  <c r="N36" i="15"/>
  <c r="X35" i="15"/>
  <c r="V35" i="15"/>
  <c r="T35" i="15"/>
  <c r="R35" i="15"/>
  <c r="N35" i="15"/>
  <c r="R34" i="15"/>
  <c r="N34" i="15"/>
  <c r="R33" i="15"/>
  <c r="N33" i="15"/>
  <c r="P30" i="15"/>
  <c r="O30" i="15"/>
  <c r="O82" i="15" s="1"/>
  <c r="M30" i="15"/>
  <c r="L30" i="15"/>
  <c r="V29" i="15"/>
  <c r="N29" i="15"/>
  <c r="R29" i="15" s="1"/>
  <c r="X28" i="15"/>
  <c r="T28" i="15"/>
  <c r="N28" i="15"/>
  <c r="R28" i="15" s="1"/>
  <c r="V28" i="15" s="1"/>
  <c r="X27" i="15"/>
  <c r="R27" i="15"/>
  <c r="N27" i="15"/>
  <c r="W26" i="15"/>
  <c r="W25" i="15" s="1"/>
  <c r="W30" i="15" s="1"/>
  <c r="U26" i="15"/>
  <c r="T26" i="15"/>
  <c r="S26" i="15"/>
  <c r="R26" i="15"/>
  <c r="N26" i="15"/>
  <c r="K26" i="15"/>
  <c r="T25" i="15"/>
  <c r="S25" i="15"/>
  <c r="S30" i="15" s="1"/>
  <c r="Q25" i="15"/>
  <c r="Q30" i="15" s="1"/>
  <c r="Q82" i="15" s="1"/>
  <c r="N25" i="15"/>
  <c r="R25" i="15" s="1"/>
  <c r="K25" i="15"/>
  <c r="K30" i="15" s="1"/>
  <c r="R24" i="15"/>
  <c r="N24" i="15"/>
  <c r="R23" i="15"/>
  <c r="N23" i="15"/>
  <c r="X22" i="15"/>
  <c r="V22" i="15"/>
  <c r="N22" i="15"/>
  <c r="R22" i="15" s="1"/>
  <c r="T22" i="15" s="1"/>
  <c r="R21" i="15"/>
  <c r="N21" i="15"/>
  <c r="T20" i="15"/>
  <c r="N20" i="15"/>
  <c r="R20" i="15" s="1"/>
  <c r="X20" i="15" s="1"/>
  <c r="N19" i="15"/>
  <c r="R19" i="15" s="1"/>
  <c r="V18" i="15"/>
  <c r="N18" i="15"/>
  <c r="R18" i="15" s="1"/>
  <c r="N17" i="15"/>
  <c r="R17" i="15" s="1"/>
  <c r="T17" i="15" s="1"/>
  <c r="R16" i="15"/>
  <c r="N16" i="15"/>
  <c r="N30" i="15" s="1"/>
  <c r="X15" i="15"/>
  <c r="V15" i="15"/>
  <c r="R15" i="15"/>
  <c r="T15" i="15" s="1"/>
  <c r="N15" i="15"/>
  <c r="W108" i="14"/>
  <c r="M103" i="14"/>
  <c r="G102" i="14"/>
  <c r="Q83" i="14"/>
  <c r="N102" i="14" s="1"/>
  <c r="Q82" i="14"/>
  <c r="P82" i="14"/>
  <c r="O82" i="14"/>
  <c r="O83" i="14" s="1"/>
  <c r="X81" i="14"/>
  <c r="V81" i="14"/>
  <c r="N81" i="14"/>
  <c r="R81" i="14" s="1"/>
  <c r="T81" i="14" s="1"/>
  <c r="V80" i="14"/>
  <c r="T80" i="14"/>
  <c r="N80" i="14"/>
  <c r="R80" i="14" s="1"/>
  <c r="X80" i="14" s="1"/>
  <c r="X79" i="14"/>
  <c r="N79" i="14"/>
  <c r="R79" i="14" s="1"/>
  <c r="W78" i="14"/>
  <c r="S78" i="14"/>
  <c r="S77" i="14" s="1"/>
  <c r="M78" i="14"/>
  <c r="M77" i="14" s="1"/>
  <c r="K78" i="14"/>
  <c r="W77" i="14"/>
  <c r="U77" i="14"/>
  <c r="N76" i="14"/>
  <c r="R76" i="14" s="1"/>
  <c r="S75" i="14"/>
  <c r="L75" i="14"/>
  <c r="N75" i="14" s="1"/>
  <c r="R75" i="14" s="1"/>
  <c r="W74" i="14"/>
  <c r="W73" i="14" s="1"/>
  <c r="U74" i="14"/>
  <c r="S74" i="14"/>
  <c r="M74" i="14"/>
  <c r="L74" i="14"/>
  <c r="K74" i="14"/>
  <c r="U73" i="14"/>
  <c r="S73" i="14"/>
  <c r="K73" i="14"/>
  <c r="R72" i="14"/>
  <c r="N72" i="14"/>
  <c r="R71" i="14"/>
  <c r="N71" i="14"/>
  <c r="X70" i="14"/>
  <c r="N70" i="14"/>
  <c r="R70" i="14" s="1"/>
  <c r="T70" i="14" s="1"/>
  <c r="R69" i="14"/>
  <c r="N69" i="14"/>
  <c r="R68" i="14"/>
  <c r="N68" i="14"/>
  <c r="S67" i="14"/>
  <c r="S66" i="14" s="1"/>
  <c r="N67" i="14"/>
  <c r="R67" i="14" s="1"/>
  <c r="L67" i="14"/>
  <c r="M66" i="14"/>
  <c r="L66" i="14"/>
  <c r="N66" i="14" s="1"/>
  <c r="R66" i="14" s="1"/>
  <c r="W65" i="14"/>
  <c r="W64" i="14" s="1"/>
  <c r="U65" i="14"/>
  <c r="S65" i="14"/>
  <c r="N65" i="14"/>
  <c r="R65" i="14" s="1"/>
  <c r="K65" i="14"/>
  <c r="U64" i="14"/>
  <c r="S64" i="14"/>
  <c r="T64" i="14" s="1"/>
  <c r="N64" i="14"/>
  <c r="R64" i="14" s="1"/>
  <c r="K64" i="14"/>
  <c r="N63" i="14"/>
  <c r="R63" i="14" s="1"/>
  <c r="T63" i="14" s="1"/>
  <c r="X62" i="14"/>
  <c r="R62" i="14"/>
  <c r="V62" i="14" s="1"/>
  <c r="N62" i="14"/>
  <c r="X61" i="14"/>
  <c r="T61" i="14"/>
  <c r="R61" i="14"/>
  <c r="V61" i="14" s="1"/>
  <c r="N61" i="14"/>
  <c r="N60" i="14"/>
  <c r="R60" i="14" s="1"/>
  <c r="N59" i="14"/>
  <c r="R59" i="14" s="1"/>
  <c r="V59" i="14" s="1"/>
  <c r="X58" i="14"/>
  <c r="N58" i="14"/>
  <c r="R58" i="14" s="1"/>
  <c r="N57" i="14"/>
  <c r="R57" i="14" s="1"/>
  <c r="X57" i="14" s="1"/>
  <c r="T56" i="14"/>
  <c r="N56" i="14"/>
  <c r="R56" i="14" s="1"/>
  <c r="X56" i="14" s="1"/>
  <c r="N55" i="14"/>
  <c r="R55" i="14" s="1"/>
  <c r="N54" i="14"/>
  <c r="R54" i="14" s="1"/>
  <c r="N53" i="14"/>
  <c r="R53" i="14" s="1"/>
  <c r="R52" i="14"/>
  <c r="T52" i="14" s="1"/>
  <c r="N52" i="14"/>
  <c r="W51" i="14"/>
  <c r="W50" i="14" s="1"/>
  <c r="U51" i="14"/>
  <c r="S51" i="14"/>
  <c r="S50" i="14" s="1"/>
  <c r="L51" i="14"/>
  <c r="U50" i="14"/>
  <c r="X49" i="14"/>
  <c r="W49" i="14"/>
  <c r="U49" i="14"/>
  <c r="U98" i="14" s="1"/>
  <c r="W98" i="14" s="1"/>
  <c r="S49" i="14"/>
  <c r="R49" i="14"/>
  <c r="N49" i="14"/>
  <c r="U48" i="14"/>
  <c r="S48" i="14"/>
  <c r="M48" i="14"/>
  <c r="K48" i="14"/>
  <c r="N47" i="14"/>
  <c r="R47" i="14" s="1"/>
  <c r="T47" i="14" s="1"/>
  <c r="X46" i="14"/>
  <c r="R46" i="14"/>
  <c r="V46" i="14" s="1"/>
  <c r="N46" i="14"/>
  <c r="X45" i="14"/>
  <c r="T45" i="14"/>
  <c r="R45" i="14"/>
  <c r="V45" i="14" s="1"/>
  <c r="N45" i="14"/>
  <c r="N44" i="14"/>
  <c r="R44" i="14" s="1"/>
  <c r="N43" i="14"/>
  <c r="R43" i="14" s="1"/>
  <c r="V43" i="14" s="1"/>
  <c r="N42" i="14"/>
  <c r="R42" i="14" s="1"/>
  <c r="N41" i="14"/>
  <c r="R41" i="14" s="1"/>
  <c r="X41" i="14" s="1"/>
  <c r="V40" i="14"/>
  <c r="T40" i="14"/>
  <c r="S40" i="14"/>
  <c r="N40" i="14"/>
  <c r="R40" i="14" s="1"/>
  <c r="X40" i="14" s="1"/>
  <c r="X39" i="14"/>
  <c r="V39" i="14"/>
  <c r="U39" i="14"/>
  <c r="U82" i="14" s="1"/>
  <c r="T39" i="14"/>
  <c r="N39" i="14"/>
  <c r="R39" i="14" s="1"/>
  <c r="N38" i="14"/>
  <c r="R38" i="14" s="1"/>
  <c r="X38" i="14" s="1"/>
  <c r="V37" i="14"/>
  <c r="N37" i="14"/>
  <c r="R37" i="14" s="1"/>
  <c r="V36" i="14"/>
  <c r="N36" i="14"/>
  <c r="R36" i="14" s="1"/>
  <c r="N35" i="14"/>
  <c r="R35" i="14" s="1"/>
  <c r="R34" i="14"/>
  <c r="N34" i="14"/>
  <c r="N33" i="14"/>
  <c r="W30" i="14"/>
  <c r="S30" i="14"/>
  <c r="P30" i="14"/>
  <c r="P83" i="14" s="1"/>
  <c r="O30" i="14"/>
  <c r="M30" i="14"/>
  <c r="L30" i="14"/>
  <c r="X29" i="14"/>
  <c r="R29" i="14"/>
  <c r="N29" i="14"/>
  <c r="N28" i="14"/>
  <c r="R28" i="14" s="1"/>
  <c r="T28" i="14" s="1"/>
  <c r="X27" i="14"/>
  <c r="V27" i="14"/>
  <c r="T27" i="14"/>
  <c r="R27" i="14"/>
  <c r="N27" i="14"/>
  <c r="X26" i="14"/>
  <c r="W26" i="14"/>
  <c r="V26" i="14"/>
  <c r="U26" i="14"/>
  <c r="S26" i="14"/>
  <c r="S25" i="14" s="1"/>
  <c r="N26" i="14"/>
  <c r="R26" i="14" s="1"/>
  <c r="T26" i="14" s="1"/>
  <c r="W25" i="14"/>
  <c r="D102" i="14" s="1"/>
  <c r="Q25" i="14"/>
  <c r="Q30" i="14" s="1"/>
  <c r="L25" i="14"/>
  <c r="M102" i="14" s="1"/>
  <c r="M105" i="14" s="1"/>
  <c r="K25" i="14"/>
  <c r="R24" i="14"/>
  <c r="X24" i="14" s="1"/>
  <c r="N24" i="14"/>
  <c r="X23" i="14"/>
  <c r="T23" i="14"/>
  <c r="R23" i="14"/>
  <c r="V23" i="14" s="1"/>
  <c r="N23" i="14"/>
  <c r="V22" i="14"/>
  <c r="R22" i="14"/>
  <c r="N22" i="14"/>
  <c r="N21" i="14"/>
  <c r="R21" i="14" s="1"/>
  <c r="V21" i="14" s="1"/>
  <c r="R20" i="14"/>
  <c r="N20" i="14"/>
  <c r="X19" i="14"/>
  <c r="V19" i="14"/>
  <c r="T19" i="14"/>
  <c r="N19" i="14"/>
  <c r="R19" i="14" s="1"/>
  <c r="V18" i="14"/>
  <c r="T18" i="14"/>
  <c r="N18" i="14"/>
  <c r="R18" i="14" s="1"/>
  <c r="X18" i="14" s="1"/>
  <c r="R17" i="14"/>
  <c r="N17" i="14"/>
  <c r="N16" i="14"/>
  <c r="R16" i="14" s="1"/>
  <c r="R15" i="14"/>
  <c r="N15" i="14"/>
  <c r="R14" i="14"/>
  <c r="N14" i="14"/>
  <c r="U95" i="13"/>
  <c r="W95" i="13" s="1"/>
  <c r="Q82" i="13"/>
  <c r="P82" i="13"/>
  <c r="Q81" i="13"/>
  <c r="P81" i="13"/>
  <c r="O81" i="13"/>
  <c r="M81" i="13"/>
  <c r="R80" i="13"/>
  <c r="N80" i="13"/>
  <c r="N79" i="13"/>
  <c r="R79" i="13" s="1"/>
  <c r="X79" i="13" s="1"/>
  <c r="X78" i="13"/>
  <c r="N78" i="13"/>
  <c r="R78" i="13" s="1"/>
  <c r="X77" i="13"/>
  <c r="U77" i="13"/>
  <c r="S77" i="13"/>
  <c r="N77" i="13"/>
  <c r="R77" i="13" s="1"/>
  <c r="T77" i="13" s="1"/>
  <c r="S76" i="13"/>
  <c r="R76" i="13"/>
  <c r="V76" i="13" s="1"/>
  <c r="N76" i="13"/>
  <c r="R75" i="13"/>
  <c r="N75" i="13"/>
  <c r="W74" i="13"/>
  <c r="N74" i="13"/>
  <c r="R74" i="13" s="1"/>
  <c r="K74" i="13"/>
  <c r="K73" i="13" s="1"/>
  <c r="N73" i="13" s="1"/>
  <c r="R73" i="13" s="1"/>
  <c r="V73" i="13" s="1"/>
  <c r="W73" i="13"/>
  <c r="U73" i="13"/>
  <c r="S73" i="13"/>
  <c r="M73" i="13"/>
  <c r="L73" i="13"/>
  <c r="W72" i="13"/>
  <c r="W71" i="13" s="1"/>
  <c r="S72" i="13"/>
  <c r="S71" i="13" s="1"/>
  <c r="N72" i="13"/>
  <c r="R72" i="13" s="1"/>
  <c r="V71" i="13"/>
  <c r="U71" i="13"/>
  <c r="L71" i="13"/>
  <c r="N71" i="13" s="1"/>
  <c r="R71" i="13" s="1"/>
  <c r="R70" i="13"/>
  <c r="V70" i="13" s="1"/>
  <c r="N70" i="13"/>
  <c r="N69" i="13"/>
  <c r="R69" i="13" s="1"/>
  <c r="S68" i="13"/>
  <c r="N68" i="13"/>
  <c r="R68" i="13" s="1"/>
  <c r="M68" i="13"/>
  <c r="K68" i="13"/>
  <c r="X67" i="13"/>
  <c r="N67" i="13"/>
  <c r="R67" i="13" s="1"/>
  <c r="V66" i="13"/>
  <c r="R66" i="13"/>
  <c r="T66" i="13" s="1"/>
  <c r="N66" i="13"/>
  <c r="N65" i="13"/>
  <c r="R65" i="13" s="1"/>
  <c r="R64" i="13"/>
  <c r="X64" i="13" s="1"/>
  <c r="N64" i="13"/>
  <c r="X63" i="13"/>
  <c r="W63" i="13"/>
  <c r="W62" i="13" s="1"/>
  <c r="U63" i="13"/>
  <c r="U62" i="13" s="1"/>
  <c r="T63" i="13"/>
  <c r="S63" i="13"/>
  <c r="S62" i="13" s="1"/>
  <c r="N63" i="13"/>
  <c r="R63" i="13" s="1"/>
  <c r="V63" i="13" s="1"/>
  <c r="K63" i="13"/>
  <c r="R62" i="13"/>
  <c r="N62" i="13"/>
  <c r="L62" i="13"/>
  <c r="W61" i="13"/>
  <c r="W60" i="13" s="1"/>
  <c r="U61" i="13"/>
  <c r="U60" i="13" s="1"/>
  <c r="U102" i="13" s="1"/>
  <c r="U103" i="13" s="1"/>
  <c r="S61" i="13"/>
  <c r="N61" i="13"/>
  <c r="R61" i="13" s="1"/>
  <c r="V60" i="13"/>
  <c r="S60" i="13"/>
  <c r="R60" i="13"/>
  <c r="L60" i="13"/>
  <c r="N60" i="13" s="1"/>
  <c r="K60" i="13"/>
  <c r="N59" i="13"/>
  <c r="R59" i="13" s="1"/>
  <c r="X58" i="13"/>
  <c r="R58" i="13"/>
  <c r="N58" i="13"/>
  <c r="X57" i="13"/>
  <c r="T57" i="13"/>
  <c r="R57" i="13"/>
  <c r="V57" i="13" s="1"/>
  <c r="N57" i="13"/>
  <c r="R56" i="13"/>
  <c r="N56" i="13"/>
  <c r="X55" i="13"/>
  <c r="V55" i="13"/>
  <c r="T55" i="13"/>
  <c r="N55" i="13"/>
  <c r="R55" i="13" s="1"/>
  <c r="X54" i="13"/>
  <c r="N54" i="13"/>
  <c r="R54" i="13" s="1"/>
  <c r="T53" i="13"/>
  <c r="R53" i="13"/>
  <c r="X53" i="13" s="1"/>
  <c r="N53" i="13"/>
  <c r="V52" i="13"/>
  <c r="T52" i="13"/>
  <c r="N52" i="13"/>
  <c r="R52" i="13" s="1"/>
  <c r="X52" i="13" s="1"/>
  <c r="X51" i="13"/>
  <c r="N51" i="13"/>
  <c r="R51" i="13" s="1"/>
  <c r="V50" i="13"/>
  <c r="R50" i="13"/>
  <c r="T50" i="13" s="1"/>
  <c r="N50" i="13"/>
  <c r="N49" i="13"/>
  <c r="R49" i="13" s="1"/>
  <c r="R48" i="13"/>
  <c r="X48" i="13" s="1"/>
  <c r="N48" i="13"/>
  <c r="W47" i="13"/>
  <c r="W46" i="13" s="1"/>
  <c r="U47" i="13"/>
  <c r="U46" i="13" s="1"/>
  <c r="S47" i="13"/>
  <c r="S46" i="13" s="1"/>
  <c r="N47" i="13"/>
  <c r="R47" i="13" s="1"/>
  <c r="L47" i="13"/>
  <c r="R46" i="13"/>
  <c r="N46" i="13"/>
  <c r="L46" i="13"/>
  <c r="L81" i="13" s="1"/>
  <c r="W45" i="13"/>
  <c r="U45" i="13"/>
  <c r="S45" i="13"/>
  <c r="N45" i="13"/>
  <c r="R45" i="13" s="1"/>
  <c r="K45" i="13"/>
  <c r="U44" i="13"/>
  <c r="S44" i="13"/>
  <c r="R44" i="13"/>
  <c r="N44" i="13"/>
  <c r="K44" i="13"/>
  <c r="N43" i="13"/>
  <c r="R43" i="13" s="1"/>
  <c r="T42" i="13"/>
  <c r="R42" i="13"/>
  <c r="N42" i="13"/>
  <c r="X41" i="13"/>
  <c r="T41" i="13"/>
  <c r="R41" i="13"/>
  <c r="V41" i="13" s="1"/>
  <c r="N41" i="13"/>
  <c r="T40" i="13"/>
  <c r="R40" i="13"/>
  <c r="X40" i="13" s="1"/>
  <c r="N40" i="13"/>
  <c r="X39" i="13"/>
  <c r="V39" i="13"/>
  <c r="T39" i="13"/>
  <c r="S39" i="13"/>
  <c r="R39" i="13"/>
  <c r="N39" i="13"/>
  <c r="N38" i="13"/>
  <c r="R38" i="13" s="1"/>
  <c r="T37" i="13"/>
  <c r="R37" i="13"/>
  <c r="N37" i="13"/>
  <c r="N36" i="13"/>
  <c r="R36" i="13" s="1"/>
  <c r="T35" i="13"/>
  <c r="R35" i="13"/>
  <c r="X35" i="13" s="1"/>
  <c r="N35" i="13"/>
  <c r="X34" i="13"/>
  <c r="V34" i="13"/>
  <c r="R34" i="13"/>
  <c r="T34" i="13" s="1"/>
  <c r="N34" i="13"/>
  <c r="N33" i="13"/>
  <c r="S30" i="13"/>
  <c r="P30" i="13"/>
  <c r="O30" i="13"/>
  <c r="M30" i="13"/>
  <c r="M82" i="13" s="1"/>
  <c r="L30" i="13"/>
  <c r="K30" i="13"/>
  <c r="R29" i="13"/>
  <c r="T29" i="13" s="1"/>
  <c r="N29" i="13"/>
  <c r="N28" i="13"/>
  <c r="R28" i="13" s="1"/>
  <c r="R27" i="13"/>
  <c r="N27" i="13"/>
  <c r="W26" i="13"/>
  <c r="U26" i="13"/>
  <c r="U101" i="13" s="1"/>
  <c r="S26" i="13"/>
  <c r="S25" i="13" s="1"/>
  <c r="N26" i="13"/>
  <c r="R26" i="13" s="1"/>
  <c r="W25" i="13"/>
  <c r="W30" i="13" s="1"/>
  <c r="Q25" i="13"/>
  <c r="Q30" i="13" s="1"/>
  <c r="K25" i="13"/>
  <c r="N25" i="13" s="1"/>
  <c r="R25" i="13" s="1"/>
  <c r="X24" i="13"/>
  <c r="V24" i="13"/>
  <c r="R24" i="13"/>
  <c r="T24" i="13" s="1"/>
  <c r="N24" i="13"/>
  <c r="V23" i="13"/>
  <c r="N23" i="13"/>
  <c r="R23" i="13" s="1"/>
  <c r="R22" i="13"/>
  <c r="N22" i="13"/>
  <c r="R21" i="13"/>
  <c r="N21" i="13"/>
  <c r="N20" i="13"/>
  <c r="R20" i="13" s="1"/>
  <c r="X19" i="13"/>
  <c r="R19" i="13"/>
  <c r="V19" i="13" s="1"/>
  <c r="N19" i="13"/>
  <c r="N18" i="13"/>
  <c r="R18" i="13" s="1"/>
  <c r="N17" i="13"/>
  <c r="R17" i="13" s="1"/>
  <c r="X17" i="13" s="1"/>
  <c r="X16" i="13"/>
  <c r="T16" i="13"/>
  <c r="R16" i="13"/>
  <c r="V16" i="13" s="1"/>
  <c r="N16" i="13"/>
  <c r="N15" i="13"/>
  <c r="X38" i="25" l="1"/>
  <c r="T38" i="25"/>
  <c r="X33" i="25"/>
  <c r="T33" i="25"/>
  <c r="T36" i="25"/>
  <c r="X36" i="25"/>
  <c r="V36" i="25"/>
  <c r="T18" i="25"/>
  <c r="X18" i="25"/>
  <c r="V18" i="25"/>
  <c r="T20" i="25"/>
  <c r="T39" i="25"/>
  <c r="V44" i="25"/>
  <c r="X39" i="25"/>
  <c r="X44" i="25"/>
  <c r="T19" i="25"/>
  <c r="M55" i="25"/>
  <c r="T47" i="25"/>
  <c r="X31" i="25"/>
  <c r="V19" i="25"/>
  <c r="O55" i="25"/>
  <c r="V47" i="25"/>
  <c r="X21" i="25"/>
  <c r="X15" i="25"/>
  <c r="K54" i="25"/>
  <c r="W44" i="13"/>
  <c r="W81" i="13" s="1"/>
  <c r="X45" i="13"/>
  <c r="X65" i="13"/>
  <c r="V65" i="13"/>
  <c r="T65" i="13"/>
  <c r="X69" i="14"/>
  <c r="V69" i="14"/>
  <c r="T69" i="14"/>
  <c r="M115" i="14"/>
  <c r="M73" i="14"/>
  <c r="X25" i="13"/>
  <c r="T25" i="13"/>
  <c r="V68" i="15"/>
  <c r="T68" i="15"/>
  <c r="X68" i="15"/>
  <c r="X20" i="13"/>
  <c r="V20" i="13"/>
  <c r="T20" i="13"/>
  <c r="X75" i="13"/>
  <c r="T75" i="13"/>
  <c r="V75" i="13"/>
  <c r="W82" i="13"/>
  <c r="V75" i="15"/>
  <c r="X75" i="15"/>
  <c r="T75" i="15"/>
  <c r="T43" i="13"/>
  <c r="X43" i="13"/>
  <c r="V43" i="13"/>
  <c r="N25" i="14"/>
  <c r="R25" i="14" s="1"/>
  <c r="K30" i="14"/>
  <c r="T21" i="13"/>
  <c r="X21" i="13"/>
  <c r="V21" i="13"/>
  <c r="V26" i="13"/>
  <c r="T26" i="13"/>
  <c r="T36" i="13"/>
  <c r="V36" i="13"/>
  <c r="X36" i="13"/>
  <c r="V47" i="13"/>
  <c r="X47" i="13"/>
  <c r="T47" i="13"/>
  <c r="X55" i="14"/>
  <c r="V55" i="14"/>
  <c r="T55" i="14"/>
  <c r="X33" i="15"/>
  <c r="V33" i="15"/>
  <c r="R81" i="15"/>
  <c r="T33" i="15"/>
  <c r="X43" i="15"/>
  <c r="T43" i="15"/>
  <c r="V43" i="15"/>
  <c r="X51" i="15"/>
  <c r="V51" i="15"/>
  <c r="T51" i="15"/>
  <c r="X76" i="15"/>
  <c r="V76" i="15"/>
  <c r="T76" i="15"/>
  <c r="X22" i="13"/>
  <c r="V22" i="13"/>
  <c r="T22" i="13"/>
  <c r="U81" i="13"/>
  <c r="U94" i="13"/>
  <c r="W94" i="13" s="1"/>
  <c r="V66" i="14"/>
  <c r="T66" i="14"/>
  <c r="X66" i="14"/>
  <c r="T75" i="14"/>
  <c r="X75" i="14"/>
  <c r="V75" i="14"/>
  <c r="X26" i="13"/>
  <c r="N81" i="13"/>
  <c r="R33" i="13"/>
  <c r="X72" i="14"/>
  <c r="V72" i="14"/>
  <c r="T72" i="14"/>
  <c r="T69" i="13"/>
  <c r="X69" i="13"/>
  <c r="V69" i="13"/>
  <c r="V42" i="14"/>
  <c r="T42" i="14"/>
  <c r="X42" i="14"/>
  <c r="X67" i="14"/>
  <c r="T67" i="14"/>
  <c r="V67" i="14"/>
  <c r="V18" i="13"/>
  <c r="T18" i="13"/>
  <c r="X18" i="13"/>
  <c r="V27" i="13"/>
  <c r="X27" i="13"/>
  <c r="T27" i="13"/>
  <c r="X49" i="13"/>
  <c r="V49" i="13"/>
  <c r="T49" i="13"/>
  <c r="V65" i="15"/>
  <c r="T65" i="15"/>
  <c r="X65" i="15"/>
  <c r="O82" i="13"/>
  <c r="T61" i="13"/>
  <c r="V61" i="13"/>
  <c r="X72" i="13"/>
  <c r="V72" i="13"/>
  <c r="T72" i="13"/>
  <c r="X37" i="14"/>
  <c r="T37" i="14"/>
  <c r="V39" i="15"/>
  <c r="T39" i="15"/>
  <c r="X39" i="15"/>
  <c r="S82" i="13"/>
  <c r="V44" i="13"/>
  <c r="X68" i="13"/>
  <c r="V68" i="13"/>
  <c r="X80" i="13"/>
  <c r="T80" i="13"/>
  <c r="M82" i="14"/>
  <c r="M83" i="14" s="1"/>
  <c r="X47" i="15"/>
  <c r="T47" i="15"/>
  <c r="V47" i="15"/>
  <c r="T17" i="13"/>
  <c r="S81" i="13"/>
  <c r="V46" i="13"/>
  <c r="X46" i="13"/>
  <c r="T46" i="13"/>
  <c r="V54" i="13"/>
  <c r="T54" i="13"/>
  <c r="V80" i="13"/>
  <c r="N51" i="14"/>
  <c r="R51" i="14" s="1"/>
  <c r="L50" i="14"/>
  <c r="T71" i="14"/>
  <c r="X71" i="14"/>
  <c r="V71" i="14"/>
  <c r="V17" i="13"/>
  <c r="X28" i="13"/>
  <c r="V28" i="13"/>
  <c r="T28" i="13"/>
  <c r="X37" i="13"/>
  <c r="V37" i="13"/>
  <c r="T44" i="13"/>
  <c r="V58" i="13"/>
  <c r="T58" i="13"/>
  <c r="X61" i="13"/>
  <c r="T68" i="13"/>
  <c r="X44" i="14"/>
  <c r="V44" i="14"/>
  <c r="T44" i="14"/>
  <c r="G103" i="14"/>
  <c r="V58" i="14"/>
  <c r="T58" i="14"/>
  <c r="T79" i="14"/>
  <c r="V79" i="14"/>
  <c r="U46" i="15"/>
  <c r="U94" i="15" s="1"/>
  <c r="W94" i="15" s="1"/>
  <c r="U95" i="15"/>
  <c r="W95" i="15" s="1"/>
  <c r="X38" i="13"/>
  <c r="V38" i="13"/>
  <c r="T38" i="13"/>
  <c r="X44" i="13"/>
  <c r="T59" i="13"/>
  <c r="X59" i="13"/>
  <c r="V59" i="13"/>
  <c r="X15" i="14"/>
  <c r="V15" i="14"/>
  <c r="T15" i="14"/>
  <c r="V20" i="14"/>
  <c r="T20" i="14"/>
  <c r="X20" i="14"/>
  <c r="R33" i="14"/>
  <c r="X62" i="15"/>
  <c r="V62" i="15"/>
  <c r="T23" i="13"/>
  <c r="X23" i="13"/>
  <c r="V29" i="13"/>
  <c r="V51" i="13"/>
  <c r="T51" i="13"/>
  <c r="V62" i="13"/>
  <c r="X62" i="13"/>
  <c r="T62" i="13"/>
  <c r="T16" i="14"/>
  <c r="X16" i="14"/>
  <c r="V16" i="14"/>
  <c r="X60" i="14"/>
  <c r="V60" i="14"/>
  <c r="T60" i="14"/>
  <c r="U105" i="14"/>
  <c r="V64" i="14"/>
  <c r="T76" i="14"/>
  <c r="X76" i="14"/>
  <c r="V76" i="14"/>
  <c r="X18" i="15"/>
  <c r="T18" i="15"/>
  <c r="T62" i="15"/>
  <c r="N30" i="13"/>
  <c r="N82" i="13" s="1"/>
  <c r="X29" i="13"/>
  <c r="T45" i="13"/>
  <c r="V45" i="13"/>
  <c r="T34" i="14"/>
  <c r="X34" i="14"/>
  <c r="V34" i="14"/>
  <c r="V49" i="14"/>
  <c r="T49" i="14"/>
  <c r="V24" i="15"/>
  <c r="T24" i="15"/>
  <c r="X24" i="15"/>
  <c r="X36" i="15"/>
  <c r="V36" i="15"/>
  <c r="T36" i="15"/>
  <c r="R15" i="13"/>
  <c r="T19" i="13"/>
  <c r="X42" i="13"/>
  <c r="V42" i="13"/>
  <c r="X60" i="13"/>
  <c r="T60" i="13"/>
  <c r="T71" i="13"/>
  <c r="X71" i="13"/>
  <c r="T73" i="13"/>
  <c r="X73" i="13"/>
  <c r="X17" i="14"/>
  <c r="V17" i="14"/>
  <c r="T17" i="14"/>
  <c r="X22" i="14"/>
  <c r="T22" i="14"/>
  <c r="X35" i="14"/>
  <c r="V35" i="14"/>
  <c r="T35" i="14"/>
  <c r="X53" i="14"/>
  <c r="V53" i="14"/>
  <c r="T53" i="14"/>
  <c r="V65" i="14"/>
  <c r="T65" i="14"/>
  <c r="X65" i="14"/>
  <c r="V68" i="14"/>
  <c r="X68" i="14"/>
  <c r="T68" i="14"/>
  <c r="G104" i="14"/>
  <c r="X56" i="15"/>
  <c r="T56" i="15"/>
  <c r="V63" i="15"/>
  <c r="X63" i="15"/>
  <c r="T63" i="15"/>
  <c r="L82" i="13"/>
  <c r="X56" i="13"/>
  <c r="V56" i="13"/>
  <c r="T56" i="13"/>
  <c r="V67" i="13"/>
  <c r="T67" i="13"/>
  <c r="V74" i="13"/>
  <c r="X74" i="13"/>
  <c r="T74" i="13"/>
  <c r="V78" i="13"/>
  <c r="T78" i="13"/>
  <c r="T29" i="14"/>
  <c r="V29" i="14"/>
  <c r="T36" i="14"/>
  <c r="X36" i="14"/>
  <c r="T54" i="14"/>
  <c r="X54" i="14"/>
  <c r="V54" i="14"/>
  <c r="U25" i="13"/>
  <c r="V77" i="13"/>
  <c r="X25" i="15"/>
  <c r="T37" i="15"/>
  <c r="X37" i="15"/>
  <c r="X41" i="15"/>
  <c r="T41" i="15"/>
  <c r="W81" i="15"/>
  <c r="X72" i="15"/>
  <c r="V72" i="15"/>
  <c r="T72" i="15"/>
  <c r="T79" i="15"/>
  <c r="X79" i="15"/>
  <c r="X19" i="15"/>
  <c r="T19" i="15"/>
  <c r="X23" i="15"/>
  <c r="V23" i="15"/>
  <c r="V52" i="15"/>
  <c r="X52" i="15"/>
  <c r="X57" i="15"/>
  <c r="T57" i="15"/>
  <c r="V57" i="15"/>
  <c r="X66" i="15"/>
  <c r="T66" i="15"/>
  <c r="V66" i="15"/>
  <c r="V80" i="15"/>
  <c r="T80" i="15"/>
  <c r="T70" i="13"/>
  <c r="T43" i="14"/>
  <c r="T46" i="14"/>
  <c r="V52" i="14"/>
  <c r="T59" i="14"/>
  <c r="T62" i="14"/>
  <c r="N78" i="14"/>
  <c r="R78" i="14" s="1"/>
  <c r="K77" i="14"/>
  <c r="N77" i="14" s="1"/>
  <c r="R77" i="14" s="1"/>
  <c r="V19" i="15"/>
  <c r="T23" i="15"/>
  <c r="V26" i="15"/>
  <c r="X29" i="15"/>
  <c r="T29" i="15"/>
  <c r="T38" i="15"/>
  <c r="X42" i="15"/>
  <c r="V42" i="15"/>
  <c r="T42" i="15"/>
  <c r="T52" i="15"/>
  <c r="T61" i="15"/>
  <c r="X61" i="15"/>
  <c r="V69" i="15"/>
  <c r="X80" i="15"/>
  <c r="X70" i="13"/>
  <c r="S82" i="14"/>
  <c r="S83" i="14" s="1"/>
  <c r="X43" i="14"/>
  <c r="X52" i="14"/>
  <c r="X59" i="14"/>
  <c r="N74" i="14"/>
  <c r="R74" i="14" s="1"/>
  <c r="X34" i="15"/>
  <c r="T34" i="15"/>
  <c r="V34" i="15"/>
  <c r="V38" i="15"/>
  <c r="T48" i="15"/>
  <c r="X48" i="15"/>
  <c r="V48" i="15"/>
  <c r="T67" i="15"/>
  <c r="X67" i="15"/>
  <c r="X69" i="15"/>
  <c r="N73" i="15"/>
  <c r="R73" i="15" s="1"/>
  <c r="K81" i="15"/>
  <c r="K82" i="15" s="1"/>
  <c r="V35" i="13"/>
  <c r="V40" i="13"/>
  <c r="X50" i="13"/>
  <c r="V53" i="13"/>
  <c r="X66" i="13"/>
  <c r="T76" i="13"/>
  <c r="V56" i="14"/>
  <c r="X16" i="15"/>
  <c r="T16" i="15"/>
  <c r="V20" i="15"/>
  <c r="U101" i="15"/>
  <c r="U103" i="15" s="1"/>
  <c r="U25" i="15"/>
  <c r="X76" i="13"/>
  <c r="T79" i="13"/>
  <c r="R30" i="14"/>
  <c r="T14" i="14"/>
  <c r="V47" i="14"/>
  <c r="V63" i="14"/>
  <c r="V16" i="15"/>
  <c r="W82" i="15"/>
  <c r="X45" i="15"/>
  <c r="T49" i="15"/>
  <c r="V77" i="15"/>
  <c r="T77" i="15"/>
  <c r="T48" i="13"/>
  <c r="T64" i="13"/>
  <c r="V79" i="13"/>
  <c r="V14" i="14"/>
  <c r="T21" i="14"/>
  <c r="T24" i="14"/>
  <c r="V28" i="14"/>
  <c r="T38" i="14"/>
  <c r="T41" i="14"/>
  <c r="X47" i="14"/>
  <c r="T57" i="14"/>
  <c r="X63" i="14"/>
  <c r="L73" i="14"/>
  <c r="N73" i="14" s="1"/>
  <c r="R73" i="14" s="1"/>
  <c r="V21" i="15"/>
  <c r="X21" i="15"/>
  <c r="V25" i="15"/>
  <c r="X26" i="15"/>
  <c r="L81" i="15"/>
  <c r="L82" i="15" s="1"/>
  <c r="N46" i="15"/>
  <c r="R46" i="15" s="1"/>
  <c r="X49" i="15"/>
  <c r="X54" i="15"/>
  <c r="V54" i="15"/>
  <c r="T54" i="15"/>
  <c r="X59" i="15"/>
  <c r="V59" i="15"/>
  <c r="K81" i="13"/>
  <c r="K82" i="13" s="1"/>
  <c r="V48" i="13"/>
  <c r="V64" i="13"/>
  <c r="X14" i="14"/>
  <c r="X21" i="14"/>
  <c r="V24" i="14"/>
  <c r="X28" i="14"/>
  <c r="V38" i="14"/>
  <c r="V41" i="14"/>
  <c r="V57" i="14"/>
  <c r="V17" i="15"/>
  <c r="T21" i="15"/>
  <c r="R30" i="15"/>
  <c r="T71" i="15"/>
  <c r="X77" i="15"/>
  <c r="N30" i="14"/>
  <c r="U104" i="14"/>
  <c r="U25" i="14"/>
  <c r="M109" i="14"/>
  <c r="N48" i="14"/>
  <c r="R48" i="14" s="1"/>
  <c r="W48" i="14"/>
  <c r="D104" i="14"/>
  <c r="X64" i="14"/>
  <c r="V70" i="14"/>
  <c r="U97" i="14"/>
  <c r="W97" i="14" s="1"/>
  <c r="M114" i="14"/>
  <c r="X17" i="15"/>
  <c r="S82" i="15"/>
  <c r="X40" i="15"/>
  <c r="V55" i="15"/>
  <c r="T55" i="15"/>
  <c r="X55" i="15"/>
  <c r="V60" i="15"/>
  <c r="X60" i="15"/>
  <c r="V71" i="15"/>
  <c r="X74" i="15"/>
  <c r="V74" i="15"/>
  <c r="T74" i="15"/>
  <c r="X78" i="15"/>
  <c r="V78" i="15"/>
  <c r="X50" i="15"/>
  <c r="V50" i="15"/>
  <c r="U81" i="15"/>
  <c r="X70" i="15"/>
  <c r="V70" i="15"/>
  <c r="M82" i="15"/>
  <c r="V27" i="15"/>
  <c r="T27" i="15"/>
  <c r="V64" i="15"/>
  <c r="T64" i="15"/>
  <c r="S27" i="25"/>
  <c r="S55" i="25" s="1"/>
  <c r="V52" i="25"/>
  <c r="T52" i="25"/>
  <c r="X52" i="25"/>
  <c r="X16" i="25"/>
  <c r="T16" i="25"/>
  <c r="T40" i="25"/>
  <c r="X40" i="25"/>
  <c r="V40" i="25"/>
  <c r="X37" i="25"/>
  <c r="V37" i="25"/>
  <c r="T37" i="25"/>
  <c r="T24" i="25"/>
  <c r="X24" i="25"/>
  <c r="V24" i="25"/>
  <c r="V42" i="25"/>
  <c r="X42" i="25"/>
  <c r="T42" i="25"/>
  <c r="V50" i="25"/>
  <c r="X50" i="25"/>
  <c r="T50" i="25"/>
  <c r="N27" i="25"/>
  <c r="R14" i="25"/>
  <c r="K55" i="25"/>
  <c r="V35" i="25"/>
  <c r="T35" i="25"/>
  <c r="X35" i="25"/>
  <c r="X43" i="25"/>
  <c r="T43" i="25"/>
  <c r="T51" i="25"/>
  <c r="X51" i="25"/>
  <c r="V51" i="25"/>
  <c r="X32" i="25"/>
  <c r="V32" i="25"/>
  <c r="N48" i="25"/>
  <c r="R48" i="25" s="1"/>
  <c r="V17" i="25"/>
  <c r="T17" i="25"/>
  <c r="X45" i="25"/>
  <c r="V45" i="25"/>
  <c r="T45" i="25"/>
  <c r="X17" i="25"/>
  <c r="X34" i="25"/>
  <c r="V34" i="25"/>
  <c r="X41" i="25"/>
  <c r="V41" i="25"/>
  <c r="T41" i="25"/>
  <c r="T22" i="25"/>
  <c r="X22" i="25"/>
  <c r="T26" i="25"/>
  <c r="X26" i="25"/>
  <c r="T34" i="25"/>
  <c r="X23" i="25"/>
  <c r="V23" i="25"/>
  <c r="T23" i="25"/>
  <c r="R30" i="25"/>
  <c r="T21" i="25"/>
  <c r="U54" i="25"/>
  <c r="U55" i="25" s="1"/>
  <c r="V25" i="25"/>
  <c r="X25" i="25"/>
  <c r="T25" i="25"/>
  <c r="T46" i="25"/>
  <c r="X46" i="25"/>
  <c r="V46" i="25"/>
  <c r="X53" i="25"/>
  <c r="V53" i="25"/>
  <c r="T53" i="25"/>
  <c r="V20" i="25"/>
  <c r="P55" i="25"/>
  <c r="V33" i="25"/>
  <c r="V38" i="25"/>
  <c r="T15" i="25"/>
  <c r="V31" i="25"/>
  <c r="X73" i="14" l="1"/>
  <c r="V73" i="14"/>
  <c r="T73" i="14"/>
  <c r="X33" i="13"/>
  <c r="R81" i="13"/>
  <c r="V33" i="13"/>
  <c r="T33" i="13"/>
  <c r="N81" i="15"/>
  <c r="N82" i="15" s="1"/>
  <c r="X77" i="14"/>
  <c r="V77" i="14"/>
  <c r="T77" i="14"/>
  <c r="V74" i="14"/>
  <c r="T74" i="14"/>
  <c r="X74" i="14"/>
  <c r="V78" i="14"/>
  <c r="X78" i="14"/>
  <c r="T78" i="14"/>
  <c r="U93" i="13"/>
  <c r="U30" i="13"/>
  <c r="U82" i="13" s="1"/>
  <c r="W82" i="14"/>
  <c r="W83" i="14" s="1"/>
  <c r="D103" i="14"/>
  <c r="T30" i="14"/>
  <c r="V30" i="14"/>
  <c r="X30" i="14"/>
  <c r="U93" i="15"/>
  <c r="U30" i="15"/>
  <c r="U82" i="15" s="1"/>
  <c r="T73" i="15"/>
  <c r="V73" i="15"/>
  <c r="X73" i="15"/>
  <c r="V25" i="13"/>
  <c r="X48" i="14"/>
  <c r="V48" i="14"/>
  <c r="T48" i="14"/>
  <c r="T48" i="25"/>
  <c r="X48" i="25"/>
  <c r="V48" i="25"/>
  <c r="U96" i="14"/>
  <c r="U30" i="14"/>
  <c r="U83" i="14" s="1"/>
  <c r="V30" i="15"/>
  <c r="T30" i="15"/>
  <c r="R82" i="15"/>
  <c r="X30" i="15"/>
  <c r="X46" i="15"/>
  <c r="V46" i="15"/>
  <c r="T46" i="15"/>
  <c r="N82" i="14"/>
  <c r="T14" i="25"/>
  <c r="R27" i="25"/>
  <c r="V14" i="25"/>
  <c r="X14" i="25"/>
  <c r="U106" i="14"/>
  <c r="T33" i="14"/>
  <c r="X33" i="14"/>
  <c r="V33" i="14"/>
  <c r="M108" i="14"/>
  <c r="L82" i="14"/>
  <c r="L83" i="14" s="1"/>
  <c r="N50" i="14"/>
  <c r="R50" i="14" s="1"/>
  <c r="R54" i="25"/>
  <c r="V30" i="25"/>
  <c r="T30" i="25"/>
  <c r="X30" i="25"/>
  <c r="N83" i="14"/>
  <c r="V51" i="14"/>
  <c r="T51" i="14"/>
  <c r="X51" i="14"/>
  <c r="X25" i="14"/>
  <c r="V25" i="14"/>
  <c r="T25" i="14"/>
  <c r="X81" i="15"/>
  <c r="T81" i="15"/>
  <c r="V81" i="15"/>
  <c r="N54" i="25"/>
  <c r="N55" i="25" s="1"/>
  <c r="K82" i="14"/>
  <c r="K83" i="14" s="1"/>
  <c r="M117" i="14"/>
  <c r="N114" i="14"/>
  <c r="R30" i="13"/>
  <c r="X15" i="13"/>
  <c r="V15" i="13"/>
  <c r="T15" i="13"/>
  <c r="U101" i="14" l="1"/>
  <c r="W96" i="14"/>
  <c r="W101" i="14" s="1"/>
  <c r="W112" i="14" s="1"/>
  <c r="V50" i="14"/>
  <c r="X50" i="14"/>
  <c r="T50" i="14"/>
  <c r="U98" i="15"/>
  <c r="W93" i="15"/>
  <c r="W98" i="15" s="1"/>
  <c r="M111" i="14"/>
  <c r="N108" i="14"/>
  <c r="N118" i="14" s="1"/>
  <c r="R82" i="13"/>
  <c r="X30" i="13"/>
  <c r="T30" i="13"/>
  <c r="V30" i="13"/>
  <c r="V54" i="25"/>
  <c r="X54" i="25"/>
  <c r="T54" i="25"/>
  <c r="W93" i="13"/>
  <c r="W98" i="13" s="1"/>
  <c r="U98" i="13"/>
  <c r="T27" i="25"/>
  <c r="V27" i="25"/>
  <c r="X27" i="25"/>
  <c r="R55" i="25"/>
  <c r="R82" i="14"/>
  <c r="X82" i="15"/>
  <c r="V82" i="15"/>
  <c r="T82" i="15"/>
  <c r="V81" i="13"/>
  <c r="T81" i="13"/>
  <c r="X81" i="13"/>
  <c r="T82" i="14" l="1"/>
  <c r="V82" i="14"/>
  <c r="X82" i="14"/>
  <c r="R83" i="14"/>
  <c r="X82" i="13"/>
  <c r="T82" i="13"/>
  <c r="V82" i="13"/>
  <c r="T55" i="25"/>
  <c r="X55" i="25"/>
  <c r="V55" i="25"/>
  <c r="T83" i="14" l="1"/>
  <c r="X83" i="14"/>
  <c r="V83" i="14"/>
</calcChain>
</file>

<file path=xl/sharedStrings.xml><?xml version="1.0" encoding="utf-8"?>
<sst xmlns="http://schemas.openxmlformats.org/spreadsheetml/2006/main" count="2333" uniqueCount="191">
  <si>
    <t>ANEXO II</t>
  </si>
  <si>
    <t>Sigla: TJAM</t>
  </si>
  <si>
    <t>Nome do Órgão: TRIBUNAL DE JUSTIÇA DO AMAZONAS</t>
  </si>
  <si>
    <t>Responsável pela Informação: SECRETÁRIO DE ORÇAMENTO E FINANÇAS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</si>
  <si>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</si>
  <si>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</si>
  <si>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</si>
  <si>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</si>
  <si>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</si>
  <si>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</si>
  <si>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</si>
  <si>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</si>
  <si>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</si>
  <si>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</si>
  <si>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</si>
  <si>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</si>
  <si>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</si>
  <si>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</si>
  <si>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</si>
  <si>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</si>
  <si>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</si>
  <si>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</si>
  <si>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</si>
  <si>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</si>
  <si>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</si>
  <si>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</si>
  <si>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</si>
  <si>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</si>
  <si>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</si>
  <si>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</si>
  <si>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</si>
  <si>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</si>
  <si>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</si>
  <si>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</si>
  <si>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</si>
  <si>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</si>
  <si>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</si>
  <si>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</si>
  <si>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</si>
  <si>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</si>
  <si>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</si>
  <si>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</si>
  <si>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</si>
  <si>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</si>
  <si>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</si>
  <si>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</si>
  <si>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</si>
  <si>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</si>
  <si>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</si>
  <si>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Prestação Jurisdicional do 1° Grau e Gestão Administrativa na Justiça Estadual</t>
  </si>
  <si>
    <t>Julgamento de Causas na Justiça Estadual do 1° Grau</t>
  </si>
  <si>
    <t>1</t>
  </si>
  <si>
    <t>100</t>
  </si>
  <si>
    <t>Diretamente Arrecadados - Orçamento Corrente</t>
  </si>
  <si>
    <t>3290/2561.0001</t>
  </si>
  <si>
    <t>Benefícios aos Servidores do 1° Grau</t>
  </si>
  <si>
    <t>3290/2563.0001</t>
  </si>
  <si>
    <t>Remuneração de Pessoal Ativo e Encargos Sociais do 1° Grau</t>
  </si>
  <si>
    <t>3291/2347.0001</t>
  </si>
  <si>
    <t>Operacionalização da Escola Superior da Magistratura</t>
  </si>
  <si>
    <t>Recursos Ordinários - Orçamento Corrente</t>
  </si>
  <si>
    <t>3291/2564.0001</t>
  </si>
  <si>
    <t>Prestação Jurisdicional do 2° Grau e Gestão Administrativa na Justiça Estadual</t>
  </si>
  <si>
    <t>Benefícios aos Servidores do 2° Grau</t>
  </si>
  <si>
    <t>3291/2566.0001</t>
  </si>
  <si>
    <t>Remuneração de Pessoal Ativo e Encargos Sociais do 2° Grau e Gestão Administrativa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</si>
  <si>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</si>
  <si>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</si>
  <si>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</si>
  <si>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</si>
  <si>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02.122</t>
  </si>
  <si>
    <t>3287/2516.0001</t>
  </si>
  <si>
    <t>Manutenção da Gestão da Fundação Amazonprev</t>
  </si>
  <si>
    <t>02.128</t>
  </si>
  <si>
    <t>3291/2218.0001</t>
  </si>
  <si>
    <t>Formação e aperfeiçoamento dos Servidores</t>
  </si>
  <si>
    <t>02.272</t>
  </si>
  <si>
    <t>0002.0001.0001</t>
  </si>
  <si>
    <t>Encargos com Pessoal Inativo e Pensionistas</t>
  </si>
  <si>
    <t>300</t>
  </si>
  <si>
    <t>28.846</t>
  </si>
  <si>
    <t>0003.0023.0001</t>
  </si>
  <si>
    <t>Cumprimento de Sentenças Judiciais Transitadas em julgado</t>
  </si>
  <si>
    <t>Total l</t>
  </si>
  <si>
    <t>4703</t>
  </si>
  <si>
    <t>Fundo de Modernização e Reaparelhamento do Poder Judiciário Estadual</t>
  </si>
  <si>
    <t>3290/1475.0001</t>
  </si>
  <si>
    <t>Prestação Jurisdicional do 1° Grau na Justiça Estadual</t>
  </si>
  <si>
    <t>Reforma das Unidades Jurisdicionais do 1º Grau</t>
  </si>
  <si>
    <t>201</t>
  </si>
  <si>
    <t>3290/1475.0002</t>
  </si>
  <si>
    <t>401</t>
  </si>
  <si>
    <t>3290/1475.0003</t>
  </si>
  <si>
    <t>3290/1475.0010</t>
  </si>
  <si>
    <t>3290/1475.0011</t>
  </si>
  <si>
    <t>3290/1476.0001</t>
  </si>
  <si>
    <t>Construção de Unidades Jurisdicionais do 1. Grau.</t>
  </si>
  <si>
    <t>3290/1477.0001</t>
  </si>
  <si>
    <t>Implantação do Programa de Segurança no 1° Grau</t>
  </si>
  <si>
    <t>Julgamento de Causas na Justiça Estadual do 1º Grau</t>
  </si>
  <si>
    <t>Benefícios aos Servidores do 1. Grau</t>
  </si>
  <si>
    <t>Prestação Jurisdicional do 2° Grau na Justiça Estadual</t>
  </si>
  <si>
    <t>3291/1478.0001</t>
  </si>
  <si>
    <t>Construção de Unidades Jurisdicionais do 2. Grau.</t>
  </si>
  <si>
    <t>3291/1479.0001</t>
  </si>
  <si>
    <t>Implantação do Programa de Segurança no 2° Grau</t>
  </si>
  <si>
    <t>3291/1480.0011</t>
  </si>
  <si>
    <t>Reforma das Unidades Jurisdicionais do 2º Grau</t>
  </si>
  <si>
    <t>3291/1480.0001</t>
  </si>
  <si>
    <t>285</t>
  </si>
  <si>
    <t>3291/2565.0001</t>
  </si>
  <si>
    <t>Julgamento de Causas na Justiça Estadual do 2º Grau</t>
  </si>
  <si>
    <t>485</t>
  </si>
  <si>
    <t>3291/2581.0001</t>
  </si>
  <si>
    <t>Operacionalização da Corregedoria Geral de Justiça</t>
  </si>
  <si>
    <t>02.126</t>
  </si>
  <si>
    <t>3290/2627.0001</t>
  </si>
  <si>
    <t>Ampliação e Manutenção da Estrutura da Tecnologia da Informação no 1° Grau do Poder Judiciário</t>
  </si>
  <si>
    <t>3291/2628.0001</t>
  </si>
  <si>
    <t>Ampliação e Manutenção da Estrutura da Tecnologia da Informação no 2° Grau do Poder Judiciário</t>
  </si>
  <si>
    <t>Formação e Aperfeiçoamento dos servidores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</si>
  <si>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</si>
  <si>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</si>
  <si>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</si>
  <si>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</si>
  <si>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</si>
  <si>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>TOTAL = B-A</t>
  </si>
  <si>
    <t>CRÉDITOS ADICIONAIS</t>
  </si>
  <si>
    <t>MÊS ANTERIOR</t>
  </si>
  <si>
    <t>MÊS ATUAL</t>
  </si>
  <si>
    <t>PAGO</t>
  </si>
  <si>
    <t>EMPENHADO</t>
  </si>
  <si>
    <t>GRUPO</t>
  </si>
  <si>
    <t>TOTAL</t>
  </si>
  <si>
    <t>ACRÉSCIMOS</t>
  </si>
  <si>
    <t>DECRÉSCIMOS</t>
  </si>
  <si>
    <t>TJAM 03</t>
  </si>
  <si>
    <t>FUNJEAM 03</t>
  </si>
  <si>
    <t xml:space="preserve">GRUPO </t>
  </si>
  <si>
    <t>DECRÉSCIMSO</t>
  </si>
  <si>
    <t>ACRESCIMOS</t>
  </si>
  <si>
    <t>DECRESCIMOS</t>
  </si>
  <si>
    <t>NELIA CAMINHA JORGE</t>
  </si>
  <si>
    <t>1.500.100.0.0000.0000</t>
  </si>
  <si>
    <t>Julgamento de Causas na Justiça Estadual do 2° Grau</t>
  </si>
  <si>
    <t>1.759.201.0.0000.0000</t>
  </si>
  <si>
    <t>3290/1476.0010</t>
  </si>
  <si>
    <t>3290/1476.0011</t>
  </si>
  <si>
    <t>1.759.285.0.0000.0000</t>
  </si>
  <si>
    <t>3290/1475.0009</t>
  </si>
  <si>
    <t>3291/1478.0011</t>
  </si>
  <si>
    <t>Recursos não Vinculados de Impostos</t>
  </si>
  <si>
    <t>Remuneração de Pessoal Ativo e Encargos Sociais do 2° Grau</t>
  </si>
  <si>
    <t>Previdência de Inativos e Pensionistas do Estado</t>
  </si>
  <si>
    <t>2</t>
  </si>
  <si>
    <t>Operações Especiais: Cumprimento de Senteças Judiciais</t>
  </si>
  <si>
    <t>Recursos Vinculados a Fundos - Diretamente Arrecadados</t>
  </si>
  <si>
    <t>3290/1475.0005</t>
  </si>
  <si>
    <t>2.759.201.0.0000.0000</t>
  </si>
  <si>
    <t>Recursos Vinculados a Fundos - Outras Fontes</t>
  </si>
  <si>
    <t>2.759.285.0.0000.0000</t>
  </si>
  <si>
    <t>3291.2581.0001</t>
  </si>
  <si>
    <t xml:space="preserve">  </t>
  </si>
  <si>
    <t>3290.1476.0010</t>
  </si>
  <si>
    <t>3290.1476.0011</t>
  </si>
  <si>
    <t>FLAVIO HUMBERTO PASCARELLI LOPES</t>
  </si>
  <si>
    <t>Mês de Referência: 07/2022</t>
  </si>
  <si>
    <t>Data da Publicação: 04/08/2022</t>
  </si>
  <si>
    <t>Mês de Referência: 07/2023</t>
  </si>
  <si>
    <t>Data da Publicação: 18/08/2023</t>
  </si>
  <si>
    <t/>
  </si>
  <si>
    <t>Mês de Referência: 08/2022</t>
  </si>
  <si>
    <t>Data da Publicação: 08/09/2022</t>
  </si>
  <si>
    <t>3290/1476.0003</t>
  </si>
  <si>
    <t>Mês de Referência: 01/2024</t>
  </si>
  <si>
    <t>Data da Publicação: 20/02/2024</t>
  </si>
  <si>
    <t>Data da Retificação: 05/03/2024</t>
  </si>
  <si>
    <t>Apreciação e Julgamento da Causas na Justiça Estadual do 1° Grau</t>
  </si>
  <si>
    <t>Apreciação e Julgamento de Causas na Justiça Estadual do 2° Grau</t>
  </si>
  <si>
    <t>Operacionalização da Escola Superior da Magistratura - ESMAM</t>
  </si>
  <si>
    <t>Construção, Ampliação e Reforma de Unidades Jurisdicionais do 1° Grau</t>
  </si>
  <si>
    <t>Aprimoramento da Segurança Institucional no 1° Grau</t>
  </si>
  <si>
    <t>Apreciação e Julgamento de Causas na Justiça Estadual do 1° Grau</t>
  </si>
  <si>
    <t>Construção, Ampliação e Reforma de Unidades Jurisdicionais do 2° Grau</t>
  </si>
  <si>
    <t>Aprimoramento da Segurança Institucional no 2° Grau</t>
  </si>
  <si>
    <t>3291.1574.0001</t>
  </si>
  <si>
    <t>Ampliação do Quadro Funcional do TJ</t>
  </si>
  <si>
    <t>Operacionalização da Corregedoria Geral de Justiça - CGJ/AM</t>
  </si>
  <si>
    <t>Manutenção, Ampliação e Aperfeiçoamento da Infraestrutura de TIC no 1° Grau do Poder Judiciário</t>
  </si>
  <si>
    <t>Manutenção, Ampliação e Aperfeiçoamento da Infraestrutura de TIC no 2° Grau do Poder Judiciário</t>
  </si>
  <si>
    <t>3291.2347.0001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</si>
</sst>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12" x14ac:knownFonts="1">
    <font>
      <sz val="11"/>
      <color rgb="FF000000"/>
      <name val="Arial"/>
      <scheme val="minor"/>
    </font>
    <font>
      <sz val="9"/>
      <color rgb="FF000000"/>
      <name val="Arial"/>
    </font>
    <font>
      <sz val="11"/>
      <name val="Arial"/>
    </font>
    <font>
      <sz val="7"/>
      <color rgb="FF000000"/>
      <name val="Arial"/>
    </font>
    <font>
      <sz val="11"/>
      <color rgb="FF000000"/>
      <name val="Arial"/>
    </font>
    <font>
      <sz val="7"/>
      <color rgb="FFFF0000"/>
      <name val="Arial"/>
    </font>
    <font>
      <b/>
      <sz val="7"/>
      <color rgb="FF000000"/>
      <name val="Arial"/>
    </font>
    <font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sz val="7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CFE7E5"/>
        <bgColor rgb="FFCFE7E5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DBE5F1"/>
        <bgColor rgb="FFDBE5F1"/>
      </patternFill>
    </fill>
    <fill>
      <patternFill patternType="solid">
        <fgColor rgb="FF00DCFF"/>
        <bgColor rgb="FF00DCFF"/>
      </patternFill>
    </fill>
    <fill>
      <patternFill patternType="solid">
        <fgColor rgb="FFCFE2F3"/>
        <bgColor rgb="FFCFE2F3"/>
      </patternFill>
    </fill>
  </fills>
  <borders count="26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7" xfId="0" applyFont="1" applyBorder="1"/>
    <xf numFmtId="0" fontId="3" fillId="0" borderId="3" xfId="0" applyFont="1" applyBorder="1"/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/>
    <xf numFmtId="49" fontId="3" fillId="0" borderId="0" xfId="0" applyNumberFormat="1" applyFont="1"/>
    <xf numFmtId="164" fontId="3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right" vertical="center"/>
    </xf>
    <xf numFmtId="4" fontId="6" fillId="2" borderId="11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164" fontId="6" fillId="2" borderId="11" xfId="0" applyNumberFormat="1" applyFont="1" applyFill="1" applyBorder="1" applyAlignment="1">
      <alignment horizontal="center" vertical="center"/>
    </xf>
    <xf numFmtId="166" fontId="3" fillId="4" borderId="11" xfId="0" applyNumberFormat="1" applyFont="1" applyFill="1" applyBorder="1" applyAlignment="1">
      <alignment horizontal="right" vertical="center"/>
    </xf>
    <xf numFmtId="166" fontId="4" fillId="0" borderId="0" xfId="0" applyNumberFormat="1" applyFont="1"/>
    <xf numFmtId="0" fontId="3" fillId="5" borderId="11" xfId="0" applyFont="1" applyFill="1" applyBorder="1" applyAlignment="1">
      <alignment horizontal="center" vertical="center" wrapText="1"/>
    </xf>
    <xf numFmtId="166" fontId="3" fillId="5" borderId="11" xfId="0" applyNumberFormat="1" applyFont="1" applyFill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 wrapText="1"/>
    </xf>
    <xf numFmtId="167" fontId="3" fillId="0" borderId="11" xfId="0" applyNumberFormat="1" applyFont="1" applyBorder="1" applyAlignment="1">
      <alignment horizontal="right" vertical="center"/>
    </xf>
    <xf numFmtId="166" fontId="3" fillId="0" borderId="11" xfId="0" applyNumberFormat="1" applyFont="1" applyBorder="1" applyAlignment="1">
      <alignment horizontal="right" vertical="center"/>
    </xf>
    <xf numFmtId="4" fontId="6" fillId="0" borderId="11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 wrapText="1"/>
    </xf>
    <xf numFmtId="164" fontId="6" fillId="6" borderId="11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right" vertical="center"/>
    </xf>
    <xf numFmtId="166" fontId="3" fillId="7" borderId="11" xfId="0" applyNumberFormat="1" applyFont="1" applyFill="1" applyBorder="1" applyAlignment="1">
      <alignment horizontal="right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166" fontId="3" fillId="2" borderId="13" xfId="0" applyNumberFormat="1" applyFont="1" applyFill="1" applyBorder="1" applyAlignment="1">
      <alignment horizontal="right" vertical="center"/>
    </xf>
    <xf numFmtId="4" fontId="6" fillId="2" borderId="13" xfId="0" applyNumberFormat="1" applyFont="1" applyFill="1" applyBorder="1" applyAlignment="1">
      <alignment horizontal="right" vertical="center"/>
    </xf>
    <xf numFmtId="167" fontId="3" fillId="0" borderId="12" xfId="0" applyNumberFormat="1" applyFont="1" applyBorder="1" applyAlignment="1">
      <alignment horizontal="right" vertical="center"/>
    </xf>
    <xf numFmtId="166" fontId="3" fillId="7" borderId="13" xfId="0" applyNumberFormat="1" applyFont="1" applyFill="1" applyBorder="1" applyAlignment="1">
      <alignment horizontal="right" vertical="center"/>
    </xf>
    <xf numFmtId="166" fontId="3" fillId="8" borderId="11" xfId="0" applyNumberFormat="1" applyFont="1" applyFill="1" applyBorder="1" applyAlignment="1">
      <alignment horizontal="right" vertical="center"/>
    </xf>
    <xf numFmtId="166" fontId="3" fillId="9" borderId="11" xfId="0" applyNumberFormat="1" applyFont="1" applyFill="1" applyBorder="1" applyAlignment="1">
      <alignment horizontal="right" vertical="center"/>
    </xf>
    <xf numFmtId="4" fontId="6" fillId="10" borderId="11" xfId="0" applyNumberFormat="1" applyFont="1" applyFill="1" applyBorder="1" applyAlignment="1">
      <alignment horizontal="center" vertical="center" wrapText="1"/>
    </xf>
    <xf numFmtId="164" fontId="6" fillId="10" borderId="11" xfId="0" applyNumberFormat="1" applyFont="1" applyFill="1" applyBorder="1" applyAlignment="1">
      <alignment horizontal="center" vertical="center"/>
    </xf>
    <xf numFmtId="0" fontId="8" fillId="2" borderId="14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/>
    <xf numFmtId="0" fontId="3" fillId="2" borderId="4" xfId="0" applyFont="1" applyFill="1" applyBorder="1"/>
    <xf numFmtId="0" fontId="5" fillId="2" borderId="15" xfId="0" applyFont="1" applyFill="1" applyBorder="1"/>
    <xf numFmtId="0" fontId="4" fillId="0" borderId="0" xfId="0" applyFont="1" applyAlignment="1">
      <alignment horizontal="center" vertical="center"/>
    </xf>
    <xf numFmtId="4" fontId="3" fillId="2" borderId="4" xfId="0" applyNumberFormat="1" applyFont="1" applyFill="1" applyBorder="1"/>
    <xf numFmtId="166" fontId="3" fillId="2" borderId="4" xfId="0" applyNumberFormat="1" applyFont="1" applyFill="1" applyBorder="1"/>
    <xf numFmtId="4" fontId="4" fillId="0" borderId="0" xfId="0" applyNumberFormat="1" applyFont="1"/>
    <xf numFmtId="0" fontId="5" fillId="2" borderId="4" xfId="0" applyFont="1" applyFill="1" applyBorder="1"/>
    <xf numFmtId="0" fontId="8" fillId="2" borderId="4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0" xfId="0" applyFont="1"/>
    <xf numFmtId="4" fontId="10" fillId="2" borderId="11" xfId="0" applyNumberFormat="1" applyFont="1" applyFill="1" applyBorder="1" applyAlignment="1">
      <alignment horizontal="center" vertical="center"/>
    </xf>
    <xf numFmtId="0" fontId="8" fillId="2" borderId="4" xfId="0" applyFont="1" applyFill="1" applyBorder="1"/>
    <xf numFmtId="1" fontId="9" fillId="5" borderId="11" xfId="0" applyNumberFormat="1" applyFont="1" applyFill="1" applyBorder="1"/>
    <xf numFmtId="4" fontId="9" fillId="5" borderId="11" xfId="0" applyNumberFormat="1" applyFont="1" applyFill="1" applyBorder="1"/>
    <xf numFmtId="1" fontId="4" fillId="5" borderId="11" xfId="0" applyNumberFormat="1" applyFont="1" applyFill="1" applyBorder="1"/>
    <xf numFmtId="4" fontId="9" fillId="5" borderId="11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 vertical="center"/>
    </xf>
    <xf numFmtId="0" fontId="8" fillId="0" borderId="0" xfId="0" applyFont="1"/>
    <xf numFmtId="1" fontId="9" fillId="4" borderId="11" xfId="0" applyNumberFormat="1" applyFont="1" applyFill="1" applyBorder="1"/>
    <xf numFmtId="4" fontId="9" fillId="4" borderId="11" xfId="0" applyNumberFormat="1" applyFont="1" applyFill="1" applyBorder="1"/>
    <xf numFmtId="4" fontId="6" fillId="0" borderId="0" xfId="0" applyNumberFormat="1" applyFont="1"/>
    <xf numFmtId="1" fontId="4" fillId="4" borderId="11" xfId="0" applyNumberFormat="1" applyFont="1" applyFill="1" applyBorder="1"/>
    <xf numFmtId="4" fontId="4" fillId="2" borderId="4" xfId="0" applyNumberFormat="1" applyFont="1" applyFill="1" applyBorder="1"/>
    <xf numFmtId="4" fontId="9" fillId="4" borderId="11" xfId="0" applyNumberFormat="1" applyFont="1" applyFill="1" applyBorder="1" applyAlignment="1">
      <alignment horizontal="center"/>
    </xf>
    <xf numFmtId="1" fontId="9" fillId="7" borderId="11" xfId="0" applyNumberFormat="1" applyFont="1" applyFill="1" applyBorder="1"/>
    <xf numFmtId="4" fontId="9" fillId="7" borderId="11" xfId="0" applyNumberFormat="1" applyFont="1" applyFill="1" applyBorder="1"/>
    <xf numFmtId="1" fontId="4" fillId="7" borderId="11" xfId="0" applyNumberFormat="1" applyFont="1" applyFill="1" applyBorder="1"/>
    <xf numFmtId="0" fontId="4" fillId="2" borderId="4" xfId="0" applyFont="1" applyFill="1" applyBorder="1"/>
    <xf numFmtId="4" fontId="9" fillId="7" borderId="11" xfId="0" applyNumberFormat="1" applyFont="1" applyFill="1" applyBorder="1" applyAlignment="1">
      <alignment horizontal="center"/>
    </xf>
    <xf numFmtId="0" fontId="4" fillId="0" borderId="24" xfId="0" applyFont="1" applyBorder="1"/>
    <xf numFmtId="164" fontId="6" fillId="0" borderId="11" xfId="0" applyNumberFormat="1" applyFont="1" applyBorder="1" applyAlignment="1">
      <alignment horizontal="center"/>
    </xf>
    <xf numFmtId="4" fontId="9" fillId="2" borderId="11" xfId="0" applyNumberFormat="1" applyFont="1" applyFill="1" applyBorder="1"/>
    <xf numFmtId="0" fontId="4" fillId="6" borderId="24" xfId="0" applyFont="1" applyFill="1" applyBorder="1"/>
    <xf numFmtId="166" fontId="4" fillId="6" borderId="24" xfId="0" applyNumberFormat="1" applyFont="1" applyFill="1" applyBorder="1"/>
    <xf numFmtId="4" fontId="4" fillId="0" borderId="24" xfId="0" applyNumberFormat="1" applyFont="1" applyBorder="1"/>
    <xf numFmtId="4" fontId="9" fillId="0" borderId="0" xfId="0" applyNumberFormat="1" applyFont="1"/>
    <xf numFmtId="166" fontId="4" fillId="0" borderId="24" xfId="0" applyNumberFormat="1" applyFont="1" applyBorder="1"/>
    <xf numFmtId="167" fontId="4" fillId="0" borderId="0" xfId="0" applyNumberFormat="1" applyFont="1"/>
    <xf numFmtId="0" fontId="4" fillId="4" borderId="11" xfId="0" applyFont="1" applyFill="1" applyBorder="1"/>
    <xf numFmtId="4" fontId="4" fillId="4" borderId="11" xfId="0" applyNumberFormat="1" applyFont="1" applyFill="1" applyBorder="1"/>
    <xf numFmtId="0" fontId="3" fillId="2" borderId="25" xfId="0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6" fontId="11" fillId="7" borderId="1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2" borderId="11" xfId="0" quotePrefix="1" applyFont="1" applyFill="1" applyBorder="1" applyAlignment="1">
      <alignment horizontal="right" vertical="center"/>
    </xf>
    <xf numFmtId="0" fontId="3" fillId="9" borderId="13" xfId="0" applyFont="1" applyFill="1" applyBorder="1" applyAlignment="1">
      <alignment horizontal="center" vertical="center" wrapText="1"/>
    </xf>
    <xf numFmtId="166" fontId="3" fillId="9" borderId="13" xfId="0" applyNumberFormat="1" applyFont="1" applyFill="1" applyBorder="1" applyAlignment="1">
      <alignment horizontal="right" vertical="center"/>
    </xf>
    <xf numFmtId="0" fontId="3" fillId="11" borderId="1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49" fontId="7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4" fillId="1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0" fillId="0" borderId="0" xfId="0"/>
    <xf numFmtId="0" fontId="6" fillId="2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4" fillId="0" borderId="0" xfId="0" applyFont="1" applyAlignment="1">
      <alignment horizontal="center"/>
    </xf>
    <xf numFmtId="0" fontId="4" fillId="2" borderId="5" xfId="0" applyFont="1" applyFill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12" xfId="0" applyFont="1" applyBorder="1"/>
    <xf numFmtId="0" fontId="4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1000"/>
  <sheetViews>
    <sheetView workbookViewId="0"/>
  </sheetViews>
  <sheetFormatPr defaultColWidth="12.625" defaultRowHeight="15" customHeight="1" x14ac:dyDescent="0.2"/>
  <cols>
    <col min="1" max="3" width="8" customWidth="1"/>
    <col min="4" max="4" width="9.875" customWidth="1"/>
    <col min="5" max="10" width="8" customWidth="1"/>
    <col min="11" max="11" width="11.125" customWidth="1"/>
    <col min="12" max="12" width="10.25" customWidth="1"/>
    <col min="13" max="13" width="10.625" customWidth="1"/>
    <col min="14" max="14" width="11.625" customWidth="1"/>
    <col min="15" max="15" width="10.75" customWidth="1"/>
    <col min="16" max="16" width="8" customWidth="1"/>
    <col min="17" max="17" width="10.625" customWidth="1"/>
    <col min="18" max="18" width="12.75" customWidth="1"/>
    <col min="19" max="19" width="10.875" customWidth="1"/>
    <col min="20" max="20" width="8" customWidth="1"/>
    <col min="21" max="21" width="14.5" customWidth="1"/>
    <col min="22" max="22" width="8" customWidth="1"/>
    <col min="23" max="23" width="13.5" customWidth="1"/>
    <col min="24" max="26" width="8" customWidth="1"/>
  </cols>
  <sheetData>
    <row r="1" spans="1:24" ht="14.25" customHeight="1" x14ac:dyDescent="0.2">
      <c r="A1" s="123" t="s">
        <v>0</v>
      </c>
      <c r="B1" s="115"/>
      <c r="C1" s="113"/>
      <c r="D1" s="1"/>
      <c r="E1" s="1"/>
      <c r="F1" s="1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1"/>
      <c r="W1" s="12"/>
      <c r="X1" s="1"/>
    </row>
    <row r="2" spans="1:24" ht="14.25" customHeight="1" x14ac:dyDescent="0.2">
      <c r="A2" s="127" t="s">
        <v>1</v>
      </c>
      <c r="B2" s="128"/>
      <c r="C2" s="129"/>
      <c r="D2" s="1"/>
      <c r="E2" s="1"/>
      <c r="F2" s="1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1"/>
      <c r="W2" s="12"/>
      <c r="X2" s="1"/>
    </row>
    <row r="3" spans="1:24" ht="14.25" customHeight="1" x14ac:dyDescent="0.2">
      <c r="A3" s="127" t="s">
        <v>2</v>
      </c>
      <c r="B3" s="128"/>
      <c r="C3" s="128"/>
      <c r="D3" s="128"/>
      <c r="E3" s="128"/>
      <c r="F3" s="6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1"/>
      <c r="W3" s="12"/>
      <c r="X3" s="1"/>
    </row>
    <row r="4" spans="1:24" ht="14.25" customHeight="1" x14ac:dyDescent="0.2">
      <c r="A4" s="123" t="s">
        <v>165</v>
      </c>
      <c r="B4" s="115"/>
      <c r="C4" s="115"/>
      <c r="D4" s="115"/>
      <c r="E4" s="115"/>
      <c r="F4" s="7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1"/>
      <c r="W4" s="12"/>
      <c r="X4" s="1"/>
    </row>
    <row r="5" spans="1:24" ht="14.25" customHeight="1" x14ac:dyDescent="0.2">
      <c r="A5" s="8" t="s">
        <v>3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1"/>
      <c r="W5" s="12"/>
      <c r="X5" s="1"/>
    </row>
    <row r="6" spans="1:24" ht="14.25" customHeight="1" x14ac:dyDescent="0.2">
      <c r="A6" s="123" t="s">
        <v>166</v>
      </c>
      <c r="B6" s="115"/>
      <c r="C6" s="115"/>
      <c r="D6" s="115"/>
      <c r="E6" s="115"/>
      <c r="F6" s="7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1"/>
      <c r="W6" s="12"/>
      <c r="X6" s="1"/>
    </row>
    <row r="7" spans="1:24" ht="14.25" customHeight="1" x14ac:dyDescent="0.2">
      <c r="A7" s="123" t="s">
        <v>167</v>
      </c>
      <c r="B7" s="115"/>
      <c r="C7" s="115"/>
      <c r="D7" s="115"/>
      <c r="E7" s="115"/>
      <c r="F7" s="7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1"/>
      <c r="W7" s="12"/>
      <c r="X7" s="1"/>
    </row>
    <row r="8" spans="1:24" ht="14.25" customHeight="1" x14ac:dyDescent="0.2">
      <c r="A8" s="5"/>
      <c r="B8" s="5"/>
      <c r="C8" s="5"/>
      <c r="D8" s="10"/>
      <c r="E8" s="1"/>
      <c r="F8" s="1"/>
      <c r="G8" s="1"/>
      <c r="H8" s="2"/>
      <c r="I8" s="2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4"/>
      <c r="V8" s="1"/>
      <c r="W8" s="12"/>
      <c r="X8" s="1"/>
    </row>
    <row r="9" spans="1:24" ht="14.25" customHeight="1" x14ac:dyDescent="0.2">
      <c r="A9" s="5"/>
      <c r="B9" s="5"/>
      <c r="C9" s="5"/>
      <c r="D9" s="11"/>
      <c r="E9" s="1"/>
      <c r="F9" s="1"/>
      <c r="G9" s="1"/>
      <c r="H9" s="2"/>
      <c r="I9" s="2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4"/>
      <c r="V9" s="1"/>
      <c r="W9" s="12"/>
      <c r="X9" s="1"/>
    </row>
    <row r="10" spans="1:24" ht="14.25" customHeight="1" x14ac:dyDescent="0.2">
      <c r="A10" s="124" t="s">
        <v>4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</row>
    <row r="11" spans="1:24" ht="14.25" customHeight="1" x14ac:dyDescent="0.2">
      <c r="A11" s="1"/>
      <c r="B11" s="1"/>
      <c r="C11" s="1"/>
      <c r="D11" s="1"/>
      <c r="E11" s="1"/>
      <c r="F11" s="1"/>
      <c r="G11" s="1"/>
      <c r="H11" s="2"/>
      <c r="I11" s="2"/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4"/>
      <c r="V11" s="1"/>
      <c r="W11" s="12"/>
      <c r="X11" s="1"/>
    </row>
    <row r="12" spans="1:24" ht="21" customHeight="1" x14ac:dyDescent="0.2">
      <c r="A12" s="114" t="s">
        <v>5</v>
      </c>
      <c r="B12" s="115"/>
      <c r="C12" s="115"/>
      <c r="D12" s="115"/>
      <c r="E12" s="115"/>
      <c r="F12" s="115"/>
      <c r="G12" s="115"/>
      <c r="H12" s="115"/>
      <c r="I12" s="115"/>
      <c r="J12" s="113"/>
      <c r="K12" s="116" t="s">
        <v>6</v>
      </c>
      <c r="L12" s="114" t="s">
        <v>7</v>
      </c>
      <c r="M12" s="113"/>
      <c r="N12" s="116" t="s">
        <v>8</v>
      </c>
      <c r="O12" s="116" t="s">
        <v>9</v>
      </c>
      <c r="P12" s="114" t="s">
        <v>10</v>
      </c>
      <c r="Q12" s="113"/>
      <c r="R12" s="116" t="s">
        <v>11</v>
      </c>
      <c r="S12" s="114" t="s">
        <v>12</v>
      </c>
      <c r="T12" s="115"/>
      <c r="U12" s="115"/>
      <c r="V12" s="115"/>
      <c r="W12" s="115"/>
      <c r="X12" s="113"/>
    </row>
    <row r="13" spans="1:24" ht="14.25" customHeight="1" x14ac:dyDescent="0.2">
      <c r="A13" s="114" t="s">
        <v>13</v>
      </c>
      <c r="B13" s="113"/>
      <c r="C13" s="116" t="s">
        <v>14</v>
      </c>
      <c r="D13" s="116" t="s">
        <v>15</v>
      </c>
      <c r="E13" s="114" t="s">
        <v>16</v>
      </c>
      <c r="F13" s="113"/>
      <c r="G13" s="116" t="s">
        <v>17</v>
      </c>
      <c r="H13" s="114" t="s">
        <v>18</v>
      </c>
      <c r="I13" s="113"/>
      <c r="J13" s="126" t="s">
        <v>19</v>
      </c>
      <c r="K13" s="117"/>
      <c r="L13" s="13" t="s">
        <v>20</v>
      </c>
      <c r="M13" s="13" t="s">
        <v>21</v>
      </c>
      <c r="N13" s="117"/>
      <c r="O13" s="117"/>
      <c r="P13" s="14" t="s">
        <v>22</v>
      </c>
      <c r="Q13" s="14" t="s">
        <v>23</v>
      </c>
      <c r="R13" s="117"/>
      <c r="S13" s="15" t="s">
        <v>24</v>
      </c>
      <c r="T13" s="16" t="s">
        <v>25</v>
      </c>
      <c r="U13" s="15" t="s">
        <v>26</v>
      </c>
      <c r="V13" s="17" t="s">
        <v>25</v>
      </c>
      <c r="W13" s="18" t="s">
        <v>27</v>
      </c>
      <c r="X13" s="17" t="s">
        <v>25</v>
      </c>
    </row>
    <row r="14" spans="1:24" ht="25.5" customHeight="1" x14ac:dyDescent="0.2">
      <c r="A14" s="15" t="s">
        <v>28</v>
      </c>
      <c r="B14" s="15" t="s">
        <v>16</v>
      </c>
      <c r="C14" s="117"/>
      <c r="D14" s="117"/>
      <c r="E14" s="14" t="s">
        <v>29</v>
      </c>
      <c r="F14" s="14" t="s">
        <v>30</v>
      </c>
      <c r="G14" s="117"/>
      <c r="H14" s="14" t="s">
        <v>28</v>
      </c>
      <c r="I14" s="14" t="s">
        <v>16</v>
      </c>
      <c r="J14" s="117"/>
      <c r="K14" s="15" t="s">
        <v>31</v>
      </c>
      <c r="L14" s="14" t="s">
        <v>32</v>
      </c>
      <c r="M14" s="14" t="s">
        <v>33</v>
      </c>
      <c r="N14" s="14" t="s">
        <v>34</v>
      </c>
      <c r="O14" s="14" t="s">
        <v>35</v>
      </c>
      <c r="P14" s="14" t="s">
        <v>36</v>
      </c>
      <c r="Q14" s="14" t="s">
        <v>37</v>
      </c>
      <c r="R14" s="15" t="s">
        <v>38</v>
      </c>
      <c r="S14" s="19" t="s">
        <v>39</v>
      </c>
      <c r="T14" s="20" t="s">
        <v>40</v>
      </c>
      <c r="U14" s="19" t="s">
        <v>41</v>
      </c>
      <c r="V14" s="20" t="s">
        <v>42</v>
      </c>
      <c r="W14" s="18" t="s">
        <v>43</v>
      </c>
      <c r="X14" s="20" t="s">
        <v>44</v>
      </c>
    </row>
    <row r="15" spans="1:24" ht="63" customHeight="1" x14ac:dyDescent="0.2">
      <c r="A15" s="21" t="s">
        <v>45</v>
      </c>
      <c r="B15" s="22" t="s">
        <v>46</v>
      </c>
      <c r="C15" s="22" t="s">
        <v>47</v>
      </c>
      <c r="D15" s="22" t="s">
        <v>48</v>
      </c>
      <c r="E15" s="22" t="s">
        <v>49</v>
      </c>
      <c r="F15" s="22" t="s">
        <v>50</v>
      </c>
      <c r="G15" s="22" t="s">
        <v>51</v>
      </c>
      <c r="H15" s="22" t="s">
        <v>52</v>
      </c>
      <c r="I15" s="22" t="s">
        <v>53</v>
      </c>
      <c r="J15" s="23">
        <v>3</v>
      </c>
      <c r="K15" s="24">
        <v>500000</v>
      </c>
      <c r="L15" s="24">
        <v>0</v>
      </c>
      <c r="M15" s="24">
        <v>0</v>
      </c>
      <c r="N15" s="25">
        <f t="shared" ref="N15:N29" si="0">K15+L15-M15</f>
        <v>500000</v>
      </c>
      <c r="O15" s="26"/>
      <c r="P15" s="26"/>
      <c r="Q15" s="26"/>
      <c r="R15" s="25">
        <f t="shared" ref="R15:R29" si="1">N15-O15+P15+Q15</f>
        <v>500000</v>
      </c>
      <c r="S15" s="24">
        <v>0</v>
      </c>
      <c r="T15" s="27">
        <f t="shared" ref="T15:T30" si="2">IF(R15&gt;0,S15/R15,0)</f>
        <v>0</v>
      </c>
      <c r="U15" s="28">
        <v>0</v>
      </c>
      <c r="V15" s="27">
        <f t="shared" ref="V15:V30" si="3">IF(R15&gt;0,U15/R15,0)</f>
        <v>0</v>
      </c>
      <c r="W15" s="24">
        <v>0</v>
      </c>
      <c r="X15" s="27">
        <f t="shared" ref="X15:X30" si="4">IF(R15&gt;0,W15/R15,0)</f>
        <v>0</v>
      </c>
    </row>
    <row r="16" spans="1:24" ht="63" customHeight="1" x14ac:dyDescent="0.2">
      <c r="A16" s="21" t="s">
        <v>45</v>
      </c>
      <c r="B16" s="22" t="s">
        <v>46</v>
      </c>
      <c r="C16" s="22" t="s">
        <v>47</v>
      </c>
      <c r="D16" s="22" t="s">
        <v>54</v>
      </c>
      <c r="E16" s="22" t="s">
        <v>49</v>
      </c>
      <c r="F16" s="22" t="s">
        <v>55</v>
      </c>
      <c r="G16" s="22" t="s">
        <v>51</v>
      </c>
      <c r="H16" s="22" t="s">
        <v>52</v>
      </c>
      <c r="I16" s="22" t="s">
        <v>53</v>
      </c>
      <c r="J16" s="23">
        <v>3</v>
      </c>
      <c r="K16" s="24">
        <v>68272700</v>
      </c>
      <c r="L16" s="24">
        <v>0</v>
      </c>
      <c r="M16" s="24">
        <v>0</v>
      </c>
      <c r="N16" s="25">
        <f t="shared" si="0"/>
        <v>68272700</v>
      </c>
      <c r="O16" s="26"/>
      <c r="P16" s="26"/>
      <c r="Q16" s="26"/>
      <c r="R16" s="25">
        <f t="shared" si="1"/>
        <v>68272700</v>
      </c>
      <c r="S16" s="24">
        <v>40029567.68</v>
      </c>
      <c r="T16" s="27">
        <f t="shared" si="2"/>
        <v>0.58631880209805676</v>
      </c>
      <c r="U16" s="28">
        <v>40029567.68</v>
      </c>
      <c r="V16" s="27">
        <f t="shared" si="3"/>
        <v>0.58631880209805676</v>
      </c>
      <c r="W16" s="24">
        <v>40029567.68</v>
      </c>
      <c r="X16" s="27">
        <f t="shared" si="4"/>
        <v>0.58631880209805676</v>
      </c>
    </row>
    <row r="17" spans="1:24" ht="63" customHeight="1" x14ac:dyDescent="0.2">
      <c r="A17" s="21" t="s">
        <v>45</v>
      </c>
      <c r="B17" s="22" t="s">
        <v>46</v>
      </c>
      <c r="C17" s="22" t="s">
        <v>47</v>
      </c>
      <c r="D17" s="22" t="s">
        <v>56</v>
      </c>
      <c r="E17" s="22" t="s">
        <v>49</v>
      </c>
      <c r="F17" s="22" t="s">
        <v>57</v>
      </c>
      <c r="G17" s="22" t="s">
        <v>51</v>
      </c>
      <c r="H17" s="22" t="s">
        <v>52</v>
      </c>
      <c r="I17" s="22" t="s">
        <v>53</v>
      </c>
      <c r="J17" s="30">
        <v>1</v>
      </c>
      <c r="K17" s="24">
        <v>414524310</v>
      </c>
      <c r="L17" s="24">
        <v>5064796.08</v>
      </c>
      <c r="M17" s="24">
        <v>5064796.08</v>
      </c>
      <c r="N17" s="25">
        <f t="shared" si="0"/>
        <v>414524310</v>
      </c>
      <c r="O17" s="26"/>
      <c r="P17" s="26"/>
      <c r="Q17" s="26"/>
      <c r="R17" s="25">
        <f t="shared" si="1"/>
        <v>414524310</v>
      </c>
      <c r="S17" s="24">
        <v>225265304.27000001</v>
      </c>
      <c r="T17" s="27">
        <f t="shared" si="2"/>
        <v>0.54343086481465952</v>
      </c>
      <c r="U17" s="31">
        <v>225265304.27000001</v>
      </c>
      <c r="V17" s="27">
        <f t="shared" si="3"/>
        <v>0.54343086481465952</v>
      </c>
      <c r="W17" s="24">
        <v>224681823.47</v>
      </c>
      <c r="X17" s="27">
        <f t="shared" si="4"/>
        <v>0.54202327354456004</v>
      </c>
    </row>
    <row r="18" spans="1:24" ht="63" customHeight="1" x14ac:dyDescent="0.2">
      <c r="A18" s="21" t="s">
        <v>45</v>
      </c>
      <c r="B18" s="22" t="s">
        <v>46</v>
      </c>
      <c r="C18" s="32" t="s">
        <v>47</v>
      </c>
      <c r="D18" s="32" t="s">
        <v>58</v>
      </c>
      <c r="E18" s="22" t="s">
        <v>49</v>
      </c>
      <c r="F18" s="32" t="s">
        <v>59</v>
      </c>
      <c r="G18" s="32" t="s">
        <v>51</v>
      </c>
      <c r="H18" s="22" t="s">
        <v>52</v>
      </c>
      <c r="I18" s="32" t="s">
        <v>60</v>
      </c>
      <c r="J18" s="30">
        <v>1</v>
      </c>
      <c r="K18" s="33">
        <v>500000</v>
      </c>
      <c r="L18" s="34">
        <v>0</v>
      </c>
      <c r="M18" s="34">
        <v>0</v>
      </c>
      <c r="N18" s="25">
        <f t="shared" si="0"/>
        <v>500000</v>
      </c>
      <c r="O18" s="35"/>
      <c r="P18" s="35"/>
      <c r="Q18" s="35"/>
      <c r="R18" s="25">
        <f t="shared" si="1"/>
        <v>500000</v>
      </c>
      <c r="S18" s="36">
        <v>19188</v>
      </c>
      <c r="T18" s="37">
        <f t="shared" si="2"/>
        <v>3.8376E-2</v>
      </c>
      <c r="U18" s="31">
        <v>19188</v>
      </c>
      <c r="V18" s="37">
        <f t="shared" si="3"/>
        <v>3.8376E-2</v>
      </c>
      <c r="W18" s="34">
        <v>19188</v>
      </c>
      <c r="X18" s="37">
        <f t="shared" si="4"/>
        <v>3.8376E-2</v>
      </c>
    </row>
    <row r="19" spans="1:24" ht="63" customHeight="1" x14ac:dyDescent="0.2">
      <c r="A19" s="21" t="s">
        <v>45</v>
      </c>
      <c r="B19" s="22" t="s">
        <v>46</v>
      </c>
      <c r="C19" s="22" t="s">
        <v>47</v>
      </c>
      <c r="D19" s="22" t="s">
        <v>61</v>
      </c>
      <c r="E19" s="22" t="s">
        <v>62</v>
      </c>
      <c r="F19" s="22" t="s">
        <v>63</v>
      </c>
      <c r="G19" s="22" t="s">
        <v>51</v>
      </c>
      <c r="H19" s="22" t="s">
        <v>52</v>
      </c>
      <c r="I19" s="22" t="s">
        <v>53</v>
      </c>
      <c r="J19" s="23">
        <v>3</v>
      </c>
      <c r="K19" s="24">
        <v>18400000</v>
      </c>
      <c r="L19" s="24">
        <v>0</v>
      </c>
      <c r="M19" s="24">
        <v>0</v>
      </c>
      <c r="N19" s="25">
        <f t="shared" si="0"/>
        <v>18400000</v>
      </c>
      <c r="O19" s="26"/>
      <c r="P19" s="26"/>
      <c r="Q19" s="26"/>
      <c r="R19" s="25">
        <f t="shared" si="1"/>
        <v>18400000</v>
      </c>
      <c r="S19" s="24">
        <v>11427261.630000001</v>
      </c>
      <c r="T19" s="27">
        <f t="shared" si="2"/>
        <v>0.62104682771739139</v>
      </c>
      <c r="U19" s="28">
        <v>11427261.630000001</v>
      </c>
      <c r="V19" s="27">
        <f t="shared" si="3"/>
        <v>0.62104682771739139</v>
      </c>
      <c r="W19" s="24">
        <v>11427261.630000001</v>
      </c>
      <c r="X19" s="27">
        <f t="shared" si="4"/>
        <v>0.62104682771739139</v>
      </c>
    </row>
    <row r="20" spans="1:24" ht="63" customHeight="1" x14ac:dyDescent="0.2">
      <c r="A20" s="21" t="s">
        <v>45</v>
      </c>
      <c r="B20" s="22" t="s">
        <v>46</v>
      </c>
      <c r="C20" s="22" t="s">
        <v>47</v>
      </c>
      <c r="D20" s="22" t="s">
        <v>64</v>
      </c>
      <c r="E20" s="22" t="s">
        <v>62</v>
      </c>
      <c r="F20" s="22" t="s">
        <v>65</v>
      </c>
      <c r="G20" s="22" t="s">
        <v>51</v>
      </c>
      <c r="H20" s="22" t="s">
        <v>52</v>
      </c>
      <c r="I20" s="22" t="s">
        <v>53</v>
      </c>
      <c r="J20" s="30">
        <v>1</v>
      </c>
      <c r="K20" s="24">
        <v>105706108</v>
      </c>
      <c r="L20" s="24">
        <v>2446610.0699999998</v>
      </c>
      <c r="M20" s="24">
        <v>2446610.0699999998</v>
      </c>
      <c r="N20" s="25">
        <f t="shared" si="0"/>
        <v>105706108</v>
      </c>
      <c r="O20" s="26"/>
      <c r="P20" s="26"/>
      <c r="Q20" s="26"/>
      <c r="R20" s="25">
        <f t="shared" si="1"/>
        <v>105706108</v>
      </c>
      <c r="S20" s="24">
        <v>56188380.200000003</v>
      </c>
      <c r="T20" s="27">
        <f t="shared" si="2"/>
        <v>0.53155282379708846</v>
      </c>
      <c r="U20" s="31">
        <v>56088380.200000003</v>
      </c>
      <c r="V20" s="27">
        <f t="shared" si="3"/>
        <v>0.53060680467017107</v>
      </c>
      <c r="W20" s="24">
        <v>55332206.729999997</v>
      </c>
      <c r="X20" s="27">
        <f t="shared" si="4"/>
        <v>0.52345325901129569</v>
      </c>
    </row>
    <row r="21" spans="1:24" ht="63" customHeight="1" x14ac:dyDescent="0.2">
      <c r="A21" s="21" t="s">
        <v>45</v>
      </c>
      <c r="B21" s="22" t="s">
        <v>46</v>
      </c>
      <c r="C21" s="22" t="s">
        <v>47</v>
      </c>
      <c r="D21" s="22" t="s">
        <v>66</v>
      </c>
      <c r="E21" s="22" t="s">
        <v>62</v>
      </c>
      <c r="F21" s="22" t="s">
        <v>67</v>
      </c>
      <c r="G21" s="22" t="s">
        <v>51</v>
      </c>
      <c r="H21" s="22" t="s">
        <v>52</v>
      </c>
      <c r="I21" s="22" t="s">
        <v>53</v>
      </c>
      <c r="J21" s="30">
        <v>1</v>
      </c>
      <c r="K21" s="24">
        <v>116644198</v>
      </c>
      <c r="L21" s="24">
        <v>93022.02</v>
      </c>
      <c r="M21" s="24">
        <v>93022.02</v>
      </c>
      <c r="N21" s="25">
        <f t="shared" si="0"/>
        <v>116644198</v>
      </c>
      <c r="O21" s="26"/>
      <c r="P21" s="26"/>
      <c r="Q21" s="26"/>
      <c r="R21" s="25">
        <f t="shared" si="1"/>
        <v>116644198</v>
      </c>
      <c r="S21" s="24">
        <v>65011614.310000002</v>
      </c>
      <c r="T21" s="27">
        <f t="shared" si="2"/>
        <v>0.55734974756309785</v>
      </c>
      <c r="U21" s="31">
        <v>65011614.259999998</v>
      </c>
      <c r="V21" s="27">
        <f t="shared" si="3"/>
        <v>0.55734974713444385</v>
      </c>
      <c r="W21" s="24">
        <v>64703913.170000002</v>
      </c>
      <c r="X21" s="27">
        <f t="shared" si="4"/>
        <v>0.55471180118191565</v>
      </c>
    </row>
    <row r="22" spans="1:24" ht="63" customHeight="1" x14ac:dyDescent="0.2">
      <c r="A22" s="21" t="s">
        <v>45</v>
      </c>
      <c r="B22" s="22" t="s">
        <v>46</v>
      </c>
      <c r="C22" s="22" t="s">
        <v>47</v>
      </c>
      <c r="D22" s="22" t="s">
        <v>68</v>
      </c>
      <c r="E22" s="22" t="s">
        <v>62</v>
      </c>
      <c r="F22" s="22" t="s">
        <v>69</v>
      </c>
      <c r="G22" s="22" t="s">
        <v>51</v>
      </c>
      <c r="H22" s="22" t="s">
        <v>52</v>
      </c>
      <c r="I22" s="22" t="s">
        <v>53</v>
      </c>
      <c r="J22" s="23">
        <v>3</v>
      </c>
      <c r="K22" s="24">
        <v>19300000</v>
      </c>
      <c r="L22" s="24">
        <v>0</v>
      </c>
      <c r="M22" s="24">
        <v>0</v>
      </c>
      <c r="N22" s="25">
        <f t="shared" si="0"/>
        <v>19300000</v>
      </c>
      <c r="O22" s="26"/>
      <c r="P22" s="26"/>
      <c r="Q22" s="26"/>
      <c r="R22" s="25">
        <f t="shared" si="1"/>
        <v>19300000</v>
      </c>
      <c r="S22" s="24">
        <v>12257601.91</v>
      </c>
      <c r="T22" s="27">
        <f t="shared" si="2"/>
        <v>0.63510890725388602</v>
      </c>
      <c r="U22" s="28">
        <v>12257601.91</v>
      </c>
      <c r="V22" s="27">
        <f t="shared" si="3"/>
        <v>0.63510890725388602</v>
      </c>
      <c r="W22" s="24">
        <v>12257601.91</v>
      </c>
      <c r="X22" s="27">
        <f t="shared" si="4"/>
        <v>0.63510890725388602</v>
      </c>
    </row>
    <row r="23" spans="1:24" ht="63" customHeight="1" x14ac:dyDescent="0.2">
      <c r="A23" s="21" t="s">
        <v>45</v>
      </c>
      <c r="B23" s="22" t="s">
        <v>46</v>
      </c>
      <c r="C23" s="22" t="s">
        <v>70</v>
      </c>
      <c r="D23" s="22" t="s">
        <v>71</v>
      </c>
      <c r="E23" s="22" t="s">
        <v>62</v>
      </c>
      <c r="F23" s="22" t="s">
        <v>72</v>
      </c>
      <c r="G23" s="22" t="s">
        <v>51</v>
      </c>
      <c r="H23" s="22" t="s">
        <v>52</v>
      </c>
      <c r="I23" s="22" t="s">
        <v>60</v>
      </c>
      <c r="J23" s="23">
        <v>3</v>
      </c>
      <c r="K23" s="24">
        <v>1500000</v>
      </c>
      <c r="L23" s="24">
        <v>0</v>
      </c>
      <c r="M23" s="24">
        <v>0</v>
      </c>
      <c r="N23" s="25">
        <f t="shared" si="0"/>
        <v>1500000</v>
      </c>
      <c r="O23" s="26"/>
      <c r="P23" s="26"/>
      <c r="Q23" s="26"/>
      <c r="R23" s="25">
        <f t="shared" si="1"/>
        <v>1500000</v>
      </c>
      <c r="S23" s="24">
        <v>1125562.05</v>
      </c>
      <c r="T23" s="27">
        <f t="shared" si="2"/>
        <v>0.75037470000000006</v>
      </c>
      <c r="U23" s="28">
        <v>1125562.05</v>
      </c>
      <c r="V23" s="27">
        <f t="shared" si="3"/>
        <v>0.75037470000000006</v>
      </c>
      <c r="W23" s="24">
        <v>1125562.05</v>
      </c>
      <c r="X23" s="27">
        <f t="shared" si="4"/>
        <v>0.75037470000000006</v>
      </c>
    </row>
    <row r="24" spans="1:24" ht="63" customHeight="1" x14ac:dyDescent="0.2">
      <c r="A24" s="21" t="s">
        <v>45</v>
      </c>
      <c r="B24" s="22" t="s">
        <v>46</v>
      </c>
      <c r="C24" s="22" t="s">
        <v>73</v>
      </c>
      <c r="D24" s="22" t="s">
        <v>74</v>
      </c>
      <c r="E24" s="32" t="s">
        <v>62</v>
      </c>
      <c r="F24" s="22" t="s">
        <v>75</v>
      </c>
      <c r="G24" s="22" t="s">
        <v>51</v>
      </c>
      <c r="H24" s="22" t="s">
        <v>52</v>
      </c>
      <c r="I24" s="22" t="s">
        <v>53</v>
      </c>
      <c r="J24" s="30">
        <v>1</v>
      </c>
      <c r="K24" s="33">
        <v>400000</v>
      </c>
      <c r="L24" s="24">
        <v>0</v>
      </c>
      <c r="M24" s="24">
        <v>0</v>
      </c>
      <c r="N24" s="25">
        <f t="shared" si="0"/>
        <v>400000</v>
      </c>
      <c r="O24" s="25"/>
      <c r="P24" s="25"/>
      <c r="Q24" s="25"/>
      <c r="R24" s="25">
        <f t="shared" si="1"/>
        <v>400000</v>
      </c>
      <c r="S24" s="34">
        <v>33640</v>
      </c>
      <c r="T24" s="27">
        <f t="shared" si="2"/>
        <v>8.4099999999999994E-2</v>
      </c>
      <c r="U24" s="31">
        <v>33640</v>
      </c>
      <c r="V24" s="27">
        <f t="shared" si="3"/>
        <v>8.4099999999999994E-2</v>
      </c>
      <c r="W24" s="24">
        <v>33640</v>
      </c>
      <c r="X24" s="27">
        <f t="shared" si="4"/>
        <v>8.4099999999999994E-2</v>
      </c>
    </row>
    <row r="25" spans="1:24" ht="63" customHeight="1" x14ac:dyDescent="0.2">
      <c r="A25" s="21" t="s">
        <v>45</v>
      </c>
      <c r="B25" s="22" t="s">
        <v>46</v>
      </c>
      <c r="C25" s="22" t="s">
        <v>76</v>
      </c>
      <c r="D25" s="22" t="s">
        <v>77</v>
      </c>
      <c r="E25" s="22" t="s">
        <v>62</v>
      </c>
      <c r="F25" s="22" t="s">
        <v>78</v>
      </c>
      <c r="G25" s="22" t="s">
        <v>51</v>
      </c>
      <c r="H25" s="22" t="s">
        <v>52</v>
      </c>
      <c r="I25" s="22" t="s">
        <v>60</v>
      </c>
      <c r="J25" s="30">
        <v>1</v>
      </c>
      <c r="K25" s="24">
        <f>122077300-K26</f>
        <v>116550000</v>
      </c>
      <c r="L25" s="24">
        <v>17200000</v>
      </c>
      <c r="M25" s="24">
        <v>17200000</v>
      </c>
      <c r="N25" s="25">
        <f t="shared" si="0"/>
        <v>116550000</v>
      </c>
      <c r="O25" s="25"/>
      <c r="P25" s="25"/>
      <c r="Q25" s="25">
        <f>-5618200-16953150</f>
        <v>-22571350</v>
      </c>
      <c r="R25" s="25">
        <f t="shared" si="1"/>
        <v>93978650</v>
      </c>
      <c r="S25" s="24">
        <f>35840687.76-S26</f>
        <v>32465784.52</v>
      </c>
      <c r="T25" s="27">
        <f t="shared" si="2"/>
        <v>0.34545914971113117</v>
      </c>
      <c r="U25" s="31">
        <f>35728998.65-U26</f>
        <v>32387784.52</v>
      </c>
      <c r="V25" s="27">
        <f t="shared" si="3"/>
        <v>0.34462917396664028</v>
      </c>
      <c r="W25" s="24">
        <f>35728998.65-W26</f>
        <v>32387784.52</v>
      </c>
      <c r="X25" s="27">
        <f t="shared" si="4"/>
        <v>0.34462917396664028</v>
      </c>
    </row>
    <row r="26" spans="1:24" ht="63" customHeight="1" x14ac:dyDescent="0.2">
      <c r="A26" s="21" t="s">
        <v>45</v>
      </c>
      <c r="B26" s="22" t="s">
        <v>46</v>
      </c>
      <c r="C26" s="22" t="s">
        <v>76</v>
      </c>
      <c r="D26" s="22" t="s">
        <v>77</v>
      </c>
      <c r="E26" s="22" t="s">
        <v>62</v>
      </c>
      <c r="F26" s="22" t="s">
        <v>78</v>
      </c>
      <c r="G26" s="22" t="s">
        <v>51</v>
      </c>
      <c r="H26" s="22" t="s">
        <v>52</v>
      </c>
      <c r="I26" s="22" t="s">
        <v>60</v>
      </c>
      <c r="J26" s="23">
        <v>3</v>
      </c>
      <c r="K26" s="24">
        <v>5527300</v>
      </c>
      <c r="L26" s="24">
        <v>0</v>
      </c>
      <c r="M26" s="24">
        <v>0</v>
      </c>
      <c r="N26" s="25">
        <f t="shared" si="0"/>
        <v>5527300</v>
      </c>
      <c r="O26" s="25"/>
      <c r="P26" s="25"/>
      <c r="Q26" s="25"/>
      <c r="R26" s="25">
        <f t="shared" si="1"/>
        <v>5527300</v>
      </c>
      <c r="S26" s="24">
        <f>244292.57+3130610.67</f>
        <v>3374903.2399999998</v>
      </c>
      <c r="T26" s="27">
        <f t="shared" si="2"/>
        <v>0.610588033940622</v>
      </c>
      <c r="U26" s="28">
        <f>210603.46+3130610.67</f>
        <v>3341214.13</v>
      </c>
      <c r="V26" s="27">
        <f t="shared" si="3"/>
        <v>0.60449299477140739</v>
      </c>
      <c r="W26" s="24">
        <f>210603.46+3130610.67</f>
        <v>3341214.13</v>
      </c>
      <c r="X26" s="27">
        <f t="shared" si="4"/>
        <v>0.60449299477140739</v>
      </c>
    </row>
    <row r="27" spans="1:24" ht="63" hidden="1" customHeight="1" x14ac:dyDescent="0.2">
      <c r="A27" s="21" t="s">
        <v>45</v>
      </c>
      <c r="B27" s="22" t="s">
        <v>46</v>
      </c>
      <c r="C27" s="22" t="s">
        <v>76</v>
      </c>
      <c r="D27" s="22" t="s">
        <v>77</v>
      </c>
      <c r="E27" s="22" t="s">
        <v>62</v>
      </c>
      <c r="F27" s="22" t="s">
        <v>78</v>
      </c>
      <c r="G27" s="22" t="s">
        <v>51</v>
      </c>
      <c r="H27" s="22" t="s">
        <v>79</v>
      </c>
      <c r="I27" s="22" t="s">
        <v>60</v>
      </c>
      <c r="J27" s="30">
        <v>1</v>
      </c>
      <c r="K27" s="24"/>
      <c r="L27" s="24"/>
      <c r="M27" s="24"/>
      <c r="N27" s="25">
        <f t="shared" si="0"/>
        <v>0</v>
      </c>
      <c r="O27" s="25"/>
      <c r="P27" s="25"/>
      <c r="Q27" s="25"/>
      <c r="R27" s="25">
        <f t="shared" si="1"/>
        <v>0</v>
      </c>
      <c r="S27" s="24"/>
      <c r="T27" s="27">
        <f t="shared" si="2"/>
        <v>0</v>
      </c>
      <c r="U27" s="31"/>
      <c r="V27" s="27">
        <f t="shared" si="3"/>
        <v>0</v>
      </c>
      <c r="W27" s="24"/>
      <c r="X27" s="27">
        <f t="shared" si="4"/>
        <v>0</v>
      </c>
    </row>
    <row r="28" spans="1:24" ht="63" customHeight="1" x14ac:dyDescent="0.2">
      <c r="A28" s="21" t="s">
        <v>45</v>
      </c>
      <c r="B28" s="22" t="s">
        <v>46</v>
      </c>
      <c r="C28" s="22" t="s">
        <v>80</v>
      </c>
      <c r="D28" s="22" t="s">
        <v>81</v>
      </c>
      <c r="E28" s="22" t="s">
        <v>62</v>
      </c>
      <c r="F28" s="22" t="s">
        <v>82</v>
      </c>
      <c r="G28" s="22" t="s">
        <v>51</v>
      </c>
      <c r="H28" s="22" t="s">
        <v>52</v>
      </c>
      <c r="I28" s="22" t="s">
        <v>60</v>
      </c>
      <c r="J28" s="30">
        <v>1</v>
      </c>
      <c r="K28" s="24">
        <v>1444384</v>
      </c>
      <c r="L28" s="24">
        <v>0</v>
      </c>
      <c r="M28" s="24">
        <v>0</v>
      </c>
      <c r="N28" s="25">
        <f t="shared" si="0"/>
        <v>1444384</v>
      </c>
      <c r="O28" s="25"/>
      <c r="P28" s="25"/>
      <c r="Q28" s="25"/>
      <c r="R28" s="25">
        <f t="shared" si="1"/>
        <v>1444384</v>
      </c>
      <c r="S28" s="24">
        <v>2181.91</v>
      </c>
      <c r="T28" s="27">
        <f t="shared" si="2"/>
        <v>1.5106162904047675E-3</v>
      </c>
      <c r="U28" s="31">
        <v>2181.91</v>
      </c>
      <c r="V28" s="27">
        <f t="shared" si="3"/>
        <v>1.5106162904047675E-3</v>
      </c>
      <c r="W28" s="24">
        <v>2181.91</v>
      </c>
      <c r="X28" s="27">
        <f t="shared" si="4"/>
        <v>1.5106162904047675E-3</v>
      </c>
    </row>
    <row r="29" spans="1:24" ht="63" hidden="1" customHeight="1" x14ac:dyDescent="0.2">
      <c r="A29" s="21" t="s">
        <v>45</v>
      </c>
      <c r="B29" s="22" t="s">
        <v>46</v>
      </c>
      <c r="C29" s="22" t="s">
        <v>80</v>
      </c>
      <c r="D29" s="22" t="s">
        <v>81</v>
      </c>
      <c r="E29" s="22" t="s">
        <v>62</v>
      </c>
      <c r="F29" s="22" t="s">
        <v>82</v>
      </c>
      <c r="G29" s="22" t="s">
        <v>51</v>
      </c>
      <c r="H29" s="22" t="s">
        <v>79</v>
      </c>
      <c r="I29" s="22" t="s">
        <v>60</v>
      </c>
      <c r="J29" s="30">
        <v>1</v>
      </c>
      <c r="K29" s="24"/>
      <c r="L29" s="24"/>
      <c r="M29" s="24"/>
      <c r="N29" s="25">
        <f t="shared" si="0"/>
        <v>0</v>
      </c>
      <c r="O29" s="25"/>
      <c r="P29" s="25"/>
      <c r="Q29" s="25"/>
      <c r="R29" s="25">
        <f t="shared" si="1"/>
        <v>0</v>
      </c>
      <c r="S29" s="24"/>
      <c r="T29" s="27">
        <f t="shared" si="2"/>
        <v>0</v>
      </c>
      <c r="U29" s="31"/>
      <c r="V29" s="27">
        <f t="shared" si="3"/>
        <v>0</v>
      </c>
      <c r="W29" s="24"/>
      <c r="X29" s="27">
        <f t="shared" si="4"/>
        <v>0</v>
      </c>
    </row>
    <row r="30" spans="1:24" ht="15" customHeight="1" x14ac:dyDescent="0.2">
      <c r="A30" s="118" t="s">
        <v>83</v>
      </c>
      <c r="B30" s="115"/>
      <c r="C30" s="115"/>
      <c r="D30" s="115"/>
      <c r="E30" s="115"/>
      <c r="F30" s="115"/>
      <c r="G30" s="115"/>
      <c r="H30" s="115"/>
      <c r="I30" s="115"/>
      <c r="J30" s="113"/>
      <c r="K30" s="38">
        <f t="shared" ref="K30:N30" si="5">SUM(K15:K29)</f>
        <v>869269000</v>
      </c>
      <c r="L30" s="38">
        <f t="shared" si="5"/>
        <v>24804428.170000002</v>
      </c>
      <c r="M30" s="38">
        <f t="shared" si="5"/>
        <v>24804428.170000002</v>
      </c>
      <c r="N30" s="38">
        <f t="shared" si="5"/>
        <v>869269000</v>
      </c>
      <c r="O30" s="38">
        <f t="shared" ref="O30:P30" si="6">SUM(O15:O28)</f>
        <v>0</v>
      </c>
      <c r="P30" s="38">
        <f t="shared" si="6"/>
        <v>0</v>
      </c>
      <c r="Q30" s="38">
        <f t="shared" ref="Q30:S30" si="7">SUM(Q15:Q29)</f>
        <v>-22571350</v>
      </c>
      <c r="R30" s="38">
        <f t="shared" si="7"/>
        <v>846697650</v>
      </c>
      <c r="S30" s="38">
        <f t="shared" si="7"/>
        <v>447200989.72000009</v>
      </c>
      <c r="T30" s="39">
        <f t="shared" si="2"/>
        <v>0.52817081719785108</v>
      </c>
      <c r="U30" s="38">
        <f>SUM(U15:U29)</f>
        <v>446989300.56000006</v>
      </c>
      <c r="V30" s="39">
        <f t="shared" si="3"/>
        <v>0.52792079978018136</v>
      </c>
      <c r="W30" s="38">
        <f>SUM(W15:W29)</f>
        <v>445341945.20000011</v>
      </c>
      <c r="X30" s="39">
        <f t="shared" si="4"/>
        <v>0.52597517567221319</v>
      </c>
    </row>
    <row r="31" spans="1:24" ht="15" customHeight="1" x14ac:dyDescent="0.2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38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9"/>
      <c r="W31" s="38"/>
      <c r="X31" s="39"/>
    </row>
    <row r="32" spans="1:24" ht="15" customHeight="1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42"/>
      <c r="M32" s="42"/>
      <c r="N32" s="42"/>
      <c r="O32" s="42"/>
      <c r="P32" s="42"/>
      <c r="Q32" s="42"/>
      <c r="R32" s="42"/>
      <c r="S32" s="42"/>
      <c r="T32" s="37"/>
      <c r="U32" s="42"/>
      <c r="V32" s="37"/>
      <c r="W32" s="42"/>
      <c r="X32" s="37"/>
    </row>
    <row r="33" spans="1:24" ht="63" customHeight="1" x14ac:dyDescent="0.2">
      <c r="A33" s="21" t="s">
        <v>84</v>
      </c>
      <c r="B33" s="22" t="s">
        <v>85</v>
      </c>
      <c r="C33" s="22" t="s">
        <v>47</v>
      </c>
      <c r="D33" s="22" t="s">
        <v>86</v>
      </c>
      <c r="E33" s="32" t="s">
        <v>87</v>
      </c>
      <c r="F33" s="22" t="s">
        <v>88</v>
      </c>
      <c r="G33" s="22" t="s">
        <v>51</v>
      </c>
      <c r="H33" s="22" t="s">
        <v>89</v>
      </c>
      <c r="I33" s="22" t="s">
        <v>53</v>
      </c>
      <c r="J33" s="43">
        <v>4</v>
      </c>
      <c r="K33" s="44">
        <v>2000000</v>
      </c>
      <c r="L33" s="24">
        <v>0</v>
      </c>
      <c r="M33" s="24">
        <v>104217.92</v>
      </c>
      <c r="N33" s="25">
        <f t="shared" ref="N33:N80" si="8">K33+L33-M33</f>
        <v>1895782.08</v>
      </c>
      <c r="O33" s="25"/>
      <c r="P33" s="25"/>
      <c r="Q33" s="25"/>
      <c r="R33" s="25">
        <f t="shared" ref="R33:R80" si="9">N33-O33+P33+Q33</f>
        <v>1895782.08</v>
      </c>
      <c r="S33" s="44">
        <v>1883187.59</v>
      </c>
      <c r="T33" s="27">
        <f t="shared" ref="T33:T82" si="10">IF(R33&gt;0,S33/R33,0)</f>
        <v>0.99335657292424662</v>
      </c>
      <c r="U33" s="45">
        <v>1004337.75</v>
      </c>
      <c r="V33" s="27">
        <f t="shared" ref="V33:V82" si="11">IF(R33&gt;0,U33/R33,0)</f>
        <v>0.52977489374728126</v>
      </c>
      <c r="W33" s="24">
        <v>1004337.75</v>
      </c>
      <c r="X33" s="27">
        <f t="shared" ref="X33:X82" si="12">IF(R33&gt;0,W33/R33,0)</f>
        <v>0.52977489374728126</v>
      </c>
    </row>
    <row r="34" spans="1:24" ht="63" customHeight="1" x14ac:dyDescent="0.2">
      <c r="A34" s="21" t="s">
        <v>84</v>
      </c>
      <c r="B34" s="22" t="s">
        <v>85</v>
      </c>
      <c r="C34" s="22" t="s">
        <v>47</v>
      </c>
      <c r="D34" s="22" t="s">
        <v>90</v>
      </c>
      <c r="E34" s="32" t="s">
        <v>87</v>
      </c>
      <c r="F34" s="22" t="s">
        <v>88</v>
      </c>
      <c r="G34" s="22" t="s">
        <v>51</v>
      </c>
      <c r="H34" s="22" t="s">
        <v>91</v>
      </c>
      <c r="I34" s="22" t="s">
        <v>53</v>
      </c>
      <c r="J34" s="23">
        <v>3</v>
      </c>
      <c r="K34" s="44">
        <v>0</v>
      </c>
      <c r="L34" s="24">
        <v>989450.06</v>
      </c>
      <c r="M34" s="24">
        <v>0</v>
      </c>
      <c r="N34" s="25">
        <f t="shared" si="8"/>
        <v>989450.06</v>
      </c>
      <c r="O34" s="25"/>
      <c r="P34" s="25"/>
      <c r="Q34" s="25"/>
      <c r="R34" s="25">
        <f t="shared" si="9"/>
        <v>989450.06</v>
      </c>
      <c r="S34" s="44">
        <v>989450.06</v>
      </c>
      <c r="T34" s="27">
        <f t="shared" si="10"/>
        <v>1</v>
      </c>
      <c r="U34" s="54">
        <v>0</v>
      </c>
      <c r="V34" s="27">
        <f t="shared" si="11"/>
        <v>0</v>
      </c>
      <c r="W34" s="24">
        <v>0</v>
      </c>
      <c r="X34" s="27">
        <f t="shared" si="12"/>
        <v>0</v>
      </c>
    </row>
    <row r="35" spans="1:24" ht="63" customHeight="1" x14ac:dyDescent="0.2">
      <c r="A35" s="21" t="s">
        <v>84</v>
      </c>
      <c r="B35" s="22" t="s">
        <v>85</v>
      </c>
      <c r="C35" s="22" t="s">
        <v>47</v>
      </c>
      <c r="D35" s="22" t="s">
        <v>149</v>
      </c>
      <c r="E35" s="32" t="s">
        <v>87</v>
      </c>
      <c r="F35" s="22" t="s">
        <v>88</v>
      </c>
      <c r="G35" s="22" t="s">
        <v>51</v>
      </c>
      <c r="H35" s="22" t="s">
        <v>89</v>
      </c>
      <c r="I35" s="22" t="s">
        <v>53</v>
      </c>
      <c r="J35" s="43">
        <v>4</v>
      </c>
      <c r="K35" s="44">
        <v>0</v>
      </c>
      <c r="L35" s="24">
        <v>17200</v>
      </c>
      <c r="M35" s="24">
        <v>0</v>
      </c>
      <c r="N35" s="25">
        <f t="shared" si="8"/>
        <v>17200</v>
      </c>
      <c r="O35" s="25"/>
      <c r="P35" s="25"/>
      <c r="Q35" s="25"/>
      <c r="R35" s="25">
        <f t="shared" si="9"/>
        <v>17200</v>
      </c>
      <c r="S35" s="44">
        <v>17200</v>
      </c>
      <c r="T35" s="27">
        <f t="shared" si="10"/>
        <v>1</v>
      </c>
      <c r="U35" s="45">
        <v>0</v>
      </c>
      <c r="V35" s="27">
        <f t="shared" si="11"/>
        <v>0</v>
      </c>
      <c r="W35" s="24">
        <v>0</v>
      </c>
      <c r="X35" s="27">
        <f t="shared" si="12"/>
        <v>0</v>
      </c>
    </row>
    <row r="36" spans="1:24" ht="63" customHeight="1" x14ac:dyDescent="0.2">
      <c r="A36" s="21" t="s">
        <v>84</v>
      </c>
      <c r="B36" s="22" t="s">
        <v>85</v>
      </c>
      <c r="C36" s="22" t="s">
        <v>47</v>
      </c>
      <c r="D36" s="22" t="s">
        <v>94</v>
      </c>
      <c r="E36" s="32" t="s">
        <v>87</v>
      </c>
      <c r="F36" s="22" t="s">
        <v>88</v>
      </c>
      <c r="G36" s="22" t="s">
        <v>51</v>
      </c>
      <c r="H36" s="22" t="s">
        <v>89</v>
      </c>
      <c r="I36" s="22" t="s">
        <v>53</v>
      </c>
      <c r="J36" s="23">
        <v>3</v>
      </c>
      <c r="K36" s="44">
        <v>0</v>
      </c>
      <c r="L36" s="24">
        <v>861515.9</v>
      </c>
      <c r="M36" s="24">
        <v>0</v>
      </c>
      <c r="N36" s="25">
        <f t="shared" si="8"/>
        <v>861515.9</v>
      </c>
      <c r="O36" s="25"/>
      <c r="P36" s="25"/>
      <c r="Q36" s="25"/>
      <c r="R36" s="25">
        <f t="shared" si="9"/>
        <v>861515.9</v>
      </c>
      <c r="S36" s="44">
        <v>844285.58</v>
      </c>
      <c r="T36" s="27">
        <f t="shared" si="10"/>
        <v>0.97999999767851054</v>
      </c>
      <c r="U36" s="28">
        <v>0</v>
      </c>
      <c r="V36" s="27">
        <f t="shared" si="11"/>
        <v>0</v>
      </c>
      <c r="W36" s="24">
        <v>0</v>
      </c>
      <c r="X36" s="27">
        <f t="shared" si="12"/>
        <v>0</v>
      </c>
    </row>
    <row r="37" spans="1:24" ht="63" customHeight="1" x14ac:dyDescent="0.2">
      <c r="A37" s="46" t="s">
        <v>84</v>
      </c>
      <c r="B37" s="22" t="s">
        <v>85</v>
      </c>
      <c r="C37" s="47" t="s">
        <v>47</v>
      </c>
      <c r="D37" s="47" t="s">
        <v>94</v>
      </c>
      <c r="E37" s="32" t="s">
        <v>87</v>
      </c>
      <c r="F37" s="22" t="s">
        <v>88</v>
      </c>
      <c r="G37" s="47" t="s">
        <v>51</v>
      </c>
      <c r="H37" s="47" t="s">
        <v>89</v>
      </c>
      <c r="I37" s="22" t="s">
        <v>53</v>
      </c>
      <c r="J37" s="48">
        <v>4</v>
      </c>
      <c r="K37" s="44">
        <v>0</v>
      </c>
      <c r="L37" s="49">
        <v>104217.92</v>
      </c>
      <c r="M37" s="49">
        <v>0</v>
      </c>
      <c r="N37" s="25">
        <f t="shared" si="8"/>
        <v>104217.92</v>
      </c>
      <c r="O37" s="50"/>
      <c r="P37" s="50"/>
      <c r="Q37" s="50"/>
      <c r="R37" s="25">
        <f t="shared" si="9"/>
        <v>104217.92</v>
      </c>
      <c r="S37" s="51">
        <v>104217.92</v>
      </c>
      <c r="T37" s="27">
        <f t="shared" si="10"/>
        <v>1</v>
      </c>
      <c r="U37" s="52">
        <v>0</v>
      </c>
      <c r="V37" s="27">
        <f t="shared" si="11"/>
        <v>0</v>
      </c>
      <c r="W37" s="49">
        <v>0</v>
      </c>
      <c r="X37" s="27">
        <f t="shared" si="12"/>
        <v>0</v>
      </c>
    </row>
    <row r="38" spans="1:24" ht="63" customHeight="1" x14ac:dyDescent="0.2">
      <c r="A38" s="21" t="s">
        <v>84</v>
      </c>
      <c r="B38" s="22" t="s">
        <v>85</v>
      </c>
      <c r="C38" s="22" t="s">
        <v>47</v>
      </c>
      <c r="D38" s="22" t="s">
        <v>94</v>
      </c>
      <c r="E38" s="32" t="s">
        <v>87</v>
      </c>
      <c r="F38" s="22" t="s">
        <v>88</v>
      </c>
      <c r="G38" s="22" t="s">
        <v>51</v>
      </c>
      <c r="H38" s="22" t="s">
        <v>91</v>
      </c>
      <c r="I38" s="22" t="s">
        <v>53</v>
      </c>
      <c r="J38" s="23">
        <v>3</v>
      </c>
      <c r="K38" s="33">
        <v>0</v>
      </c>
      <c r="L38" s="24">
        <v>404000</v>
      </c>
      <c r="M38" s="24">
        <v>0</v>
      </c>
      <c r="N38" s="25">
        <f t="shared" si="8"/>
        <v>404000</v>
      </c>
      <c r="O38" s="26"/>
      <c r="P38" s="26"/>
      <c r="Q38" s="26"/>
      <c r="R38" s="25">
        <f t="shared" si="9"/>
        <v>404000</v>
      </c>
      <c r="S38" s="36">
        <v>403071.84</v>
      </c>
      <c r="T38" s="27">
        <f t="shared" si="10"/>
        <v>0.99770257425742581</v>
      </c>
      <c r="U38" s="28">
        <v>0</v>
      </c>
      <c r="V38" s="27">
        <f t="shared" si="11"/>
        <v>0</v>
      </c>
      <c r="W38" s="24">
        <v>0</v>
      </c>
      <c r="X38" s="27">
        <f t="shared" si="12"/>
        <v>0</v>
      </c>
    </row>
    <row r="39" spans="1:24" ht="66.75" customHeight="1" x14ac:dyDescent="0.2">
      <c r="A39" s="21" t="s">
        <v>84</v>
      </c>
      <c r="B39" s="22" t="s">
        <v>85</v>
      </c>
      <c r="C39" s="22" t="s">
        <v>47</v>
      </c>
      <c r="D39" s="22" t="s">
        <v>94</v>
      </c>
      <c r="E39" s="32" t="s">
        <v>87</v>
      </c>
      <c r="F39" s="22" t="s">
        <v>88</v>
      </c>
      <c r="G39" s="22" t="s">
        <v>51</v>
      </c>
      <c r="H39" s="22" t="s">
        <v>91</v>
      </c>
      <c r="I39" s="22" t="s">
        <v>53</v>
      </c>
      <c r="J39" s="43">
        <v>4</v>
      </c>
      <c r="K39" s="33">
        <v>0</v>
      </c>
      <c r="L39" s="24">
        <v>1227372.54</v>
      </c>
      <c r="M39" s="24">
        <v>0</v>
      </c>
      <c r="N39" s="25">
        <f t="shared" si="8"/>
        <v>1227372.54</v>
      </c>
      <c r="O39" s="26"/>
      <c r="P39" s="26"/>
      <c r="Q39" s="26"/>
      <c r="R39" s="25">
        <f t="shared" si="9"/>
        <v>1227372.54</v>
      </c>
      <c r="S39" s="36">
        <f>302490+924882.33</f>
        <v>1227372.33</v>
      </c>
      <c r="T39" s="27">
        <f t="shared" si="10"/>
        <v>0.99999982890280403</v>
      </c>
      <c r="U39" s="45">
        <v>0</v>
      </c>
      <c r="V39" s="27">
        <f t="shared" si="11"/>
        <v>0</v>
      </c>
      <c r="W39" s="24">
        <v>0</v>
      </c>
      <c r="X39" s="27">
        <f t="shared" si="12"/>
        <v>0</v>
      </c>
    </row>
    <row r="40" spans="1:24" ht="66.75" customHeight="1" x14ac:dyDescent="0.2">
      <c r="A40" s="21" t="s">
        <v>84</v>
      </c>
      <c r="B40" s="22" t="s">
        <v>85</v>
      </c>
      <c r="C40" s="22" t="s">
        <v>47</v>
      </c>
      <c r="D40" s="22" t="s">
        <v>95</v>
      </c>
      <c r="E40" s="32" t="s">
        <v>87</v>
      </c>
      <c r="F40" s="22" t="s">
        <v>96</v>
      </c>
      <c r="G40" s="22" t="s">
        <v>51</v>
      </c>
      <c r="H40" s="22" t="s">
        <v>89</v>
      </c>
      <c r="I40" s="22" t="s">
        <v>53</v>
      </c>
      <c r="J40" s="43">
        <v>4</v>
      </c>
      <c r="K40" s="33">
        <v>3000000</v>
      </c>
      <c r="L40" s="24">
        <v>0</v>
      </c>
      <c r="M40" s="24">
        <v>2984626.56</v>
      </c>
      <c r="N40" s="25">
        <f t="shared" si="8"/>
        <v>15373.439999999944</v>
      </c>
      <c r="O40" s="26"/>
      <c r="P40" s="26"/>
      <c r="Q40" s="26"/>
      <c r="R40" s="25">
        <f t="shared" si="9"/>
        <v>15373.439999999944</v>
      </c>
      <c r="S40" s="36">
        <v>0</v>
      </c>
      <c r="T40" s="27">
        <f t="shared" si="10"/>
        <v>0</v>
      </c>
      <c r="U40" s="45">
        <v>0</v>
      </c>
      <c r="V40" s="27">
        <f t="shared" si="11"/>
        <v>0</v>
      </c>
      <c r="W40" s="24">
        <v>0</v>
      </c>
      <c r="X40" s="27">
        <f t="shared" si="12"/>
        <v>0</v>
      </c>
    </row>
    <row r="41" spans="1:24" ht="66.75" customHeight="1" x14ac:dyDescent="0.2">
      <c r="A41" s="21" t="s">
        <v>84</v>
      </c>
      <c r="B41" s="22" t="s">
        <v>85</v>
      </c>
      <c r="C41" s="22" t="s">
        <v>47</v>
      </c>
      <c r="D41" s="22" t="s">
        <v>163</v>
      </c>
      <c r="E41" s="32" t="s">
        <v>87</v>
      </c>
      <c r="F41" s="22" t="s">
        <v>96</v>
      </c>
      <c r="G41" s="22" t="s">
        <v>51</v>
      </c>
      <c r="H41" s="22" t="s">
        <v>91</v>
      </c>
      <c r="I41" s="22" t="s">
        <v>53</v>
      </c>
      <c r="J41" s="43">
        <v>4</v>
      </c>
      <c r="K41" s="33">
        <v>0</v>
      </c>
      <c r="L41" s="24">
        <v>3644491.47</v>
      </c>
      <c r="M41" s="24">
        <v>0</v>
      </c>
      <c r="N41" s="25">
        <f t="shared" si="8"/>
        <v>3644491.47</v>
      </c>
      <c r="O41" s="26"/>
      <c r="P41" s="26"/>
      <c r="Q41" s="26"/>
      <c r="R41" s="25">
        <f t="shared" si="9"/>
        <v>3644491.47</v>
      </c>
      <c r="S41" s="36">
        <v>3644491.47</v>
      </c>
      <c r="T41" s="27">
        <f t="shared" si="10"/>
        <v>1</v>
      </c>
      <c r="U41" s="45">
        <v>0</v>
      </c>
      <c r="V41" s="27">
        <f t="shared" si="11"/>
        <v>0</v>
      </c>
      <c r="W41" s="24">
        <v>0</v>
      </c>
      <c r="X41" s="27">
        <f t="shared" si="12"/>
        <v>0</v>
      </c>
    </row>
    <row r="42" spans="1:24" ht="63" customHeight="1" x14ac:dyDescent="0.2">
      <c r="A42" s="21" t="s">
        <v>84</v>
      </c>
      <c r="B42" s="22" t="s">
        <v>85</v>
      </c>
      <c r="C42" s="22" t="s">
        <v>47</v>
      </c>
      <c r="D42" s="22" t="s">
        <v>147</v>
      </c>
      <c r="E42" s="32" t="s">
        <v>87</v>
      </c>
      <c r="F42" s="22" t="s">
        <v>96</v>
      </c>
      <c r="G42" s="22" t="s">
        <v>51</v>
      </c>
      <c r="H42" s="22" t="s">
        <v>91</v>
      </c>
      <c r="I42" s="22" t="s">
        <v>53</v>
      </c>
      <c r="J42" s="43">
        <v>4</v>
      </c>
      <c r="K42" s="33">
        <v>0</v>
      </c>
      <c r="L42" s="24">
        <v>31249.200000000001</v>
      </c>
      <c r="M42" s="24">
        <v>0</v>
      </c>
      <c r="N42" s="25">
        <f t="shared" si="8"/>
        <v>31249.200000000001</v>
      </c>
      <c r="O42" s="25"/>
      <c r="P42" s="25"/>
      <c r="Q42" s="25"/>
      <c r="R42" s="25">
        <f t="shared" si="9"/>
        <v>31249.200000000001</v>
      </c>
      <c r="S42" s="33">
        <v>0</v>
      </c>
      <c r="T42" s="27">
        <f t="shared" si="10"/>
        <v>0</v>
      </c>
      <c r="U42" s="45">
        <v>0</v>
      </c>
      <c r="V42" s="27">
        <f t="shared" si="11"/>
        <v>0</v>
      </c>
      <c r="W42" s="24">
        <v>0</v>
      </c>
      <c r="X42" s="27">
        <f t="shared" si="12"/>
        <v>0</v>
      </c>
    </row>
    <row r="43" spans="1:24" ht="63" customHeight="1" x14ac:dyDescent="0.2">
      <c r="A43" s="21" t="s">
        <v>84</v>
      </c>
      <c r="B43" s="22" t="s">
        <v>85</v>
      </c>
      <c r="C43" s="22" t="s">
        <v>47</v>
      </c>
      <c r="D43" s="22" t="s">
        <v>97</v>
      </c>
      <c r="E43" s="32" t="s">
        <v>87</v>
      </c>
      <c r="F43" s="22" t="s">
        <v>98</v>
      </c>
      <c r="G43" s="22" t="s">
        <v>51</v>
      </c>
      <c r="H43" s="22" t="s">
        <v>89</v>
      </c>
      <c r="I43" s="22" t="s">
        <v>53</v>
      </c>
      <c r="J43" s="43">
        <v>4</v>
      </c>
      <c r="K43" s="33">
        <v>50000</v>
      </c>
      <c r="L43" s="24">
        <v>0</v>
      </c>
      <c r="M43" s="24">
        <v>50000</v>
      </c>
      <c r="N43" s="25">
        <f t="shared" si="8"/>
        <v>0</v>
      </c>
      <c r="O43" s="25"/>
      <c r="P43" s="25"/>
      <c r="Q43" s="25"/>
      <c r="R43" s="25">
        <f t="shared" si="9"/>
        <v>0</v>
      </c>
      <c r="S43" s="33">
        <v>0</v>
      </c>
      <c r="T43" s="27">
        <f t="shared" si="10"/>
        <v>0</v>
      </c>
      <c r="U43" s="45">
        <v>0</v>
      </c>
      <c r="V43" s="27">
        <f t="shared" si="11"/>
        <v>0</v>
      </c>
      <c r="W43" s="24">
        <v>0</v>
      </c>
      <c r="X43" s="27">
        <f t="shared" si="12"/>
        <v>0</v>
      </c>
    </row>
    <row r="44" spans="1:24" ht="63" customHeight="1" x14ac:dyDescent="0.2">
      <c r="A44" s="21" t="s">
        <v>84</v>
      </c>
      <c r="B44" s="22" t="s">
        <v>85</v>
      </c>
      <c r="C44" s="22" t="s">
        <v>47</v>
      </c>
      <c r="D44" s="22" t="s">
        <v>48</v>
      </c>
      <c r="E44" s="32" t="s">
        <v>87</v>
      </c>
      <c r="F44" s="22" t="s">
        <v>99</v>
      </c>
      <c r="G44" s="22" t="s">
        <v>51</v>
      </c>
      <c r="H44" s="22" t="s">
        <v>89</v>
      </c>
      <c r="I44" s="22" t="s">
        <v>53</v>
      </c>
      <c r="J44" s="23">
        <v>3</v>
      </c>
      <c r="K44" s="33">
        <f>44253337-K45</f>
        <v>43753337</v>
      </c>
      <c r="L44" s="24">
        <v>5449692.5</v>
      </c>
      <c r="M44" s="24">
        <v>6703039.9000000004</v>
      </c>
      <c r="N44" s="25">
        <f t="shared" si="8"/>
        <v>42499989.600000001</v>
      </c>
      <c r="O44" s="25"/>
      <c r="P44" s="25"/>
      <c r="Q44" s="25"/>
      <c r="R44" s="25">
        <f t="shared" si="9"/>
        <v>42499989.600000001</v>
      </c>
      <c r="S44" s="33">
        <f>41129750.9-S45</f>
        <v>40644332.969999999</v>
      </c>
      <c r="T44" s="27">
        <f t="shared" si="10"/>
        <v>0.95633748037434807</v>
      </c>
      <c r="U44" s="28">
        <f>20818986.9-U45</f>
        <v>20608952.699999999</v>
      </c>
      <c r="V44" s="27">
        <f t="shared" si="11"/>
        <v>0.48491665277960438</v>
      </c>
      <c r="W44" s="24">
        <f>20797907.86-W45</f>
        <v>20587873.66</v>
      </c>
      <c r="X44" s="27">
        <f t="shared" si="12"/>
        <v>0.48442067524647109</v>
      </c>
    </row>
    <row r="45" spans="1:24" ht="63" customHeight="1" x14ac:dyDescent="0.2">
      <c r="A45" s="21" t="s">
        <v>84</v>
      </c>
      <c r="B45" s="22" t="s">
        <v>85</v>
      </c>
      <c r="C45" s="22" t="s">
        <v>47</v>
      </c>
      <c r="D45" s="22" t="s">
        <v>48</v>
      </c>
      <c r="E45" s="32" t="s">
        <v>87</v>
      </c>
      <c r="F45" s="22" t="s">
        <v>99</v>
      </c>
      <c r="G45" s="22" t="s">
        <v>51</v>
      </c>
      <c r="H45" s="22" t="s">
        <v>89</v>
      </c>
      <c r="I45" s="22" t="s">
        <v>53</v>
      </c>
      <c r="J45" s="43">
        <v>4</v>
      </c>
      <c r="K45" s="33">
        <f>500000</f>
        <v>500000</v>
      </c>
      <c r="L45" s="24">
        <v>0</v>
      </c>
      <c r="M45" s="24">
        <v>0</v>
      </c>
      <c r="N45" s="25">
        <f t="shared" si="8"/>
        <v>500000</v>
      </c>
      <c r="O45" s="25"/>
      <c r="P45" s="25"/>
      <c r="Q45" s="25"/>
      <c r="R45" s="25">
        <f t="shared" si="9"/>
        <v>500000</v>
      </c>
      <c r="S45" s="24">
        <f>160000+11820+42375+38094+222928.93+10200</f>
        <v>485417.93</v>
      </c>
      <c r="T45" s="27">
        <f t="shared" si="10"/>
        <v>0.97083585999999999</v>
      </c>
      <c r="U45" s="45">
        <f>42375+165159.2+2500</f>
        <v>210034.2</v>
      </c>
      <c r="V45" s="27">
        <f t="shared" si="11"/>
        <v>0.42006840000000001</v>
      </c>
      <c r="W45" s="24">
        <f>42375+165159.2+2500</f>
        <v>210034.2</v>
      </c>
      <c r="X45" s="27">
        <f t="shared" si="12"/>
        <v>0.42006840000000001</v>
      </c>
    </row>
    <row r="46" spans="1:24" ht="63" customHeight="1" x14ac:dyDescent="0.2">
      <c r="A46" s="21" t="s">
        <v>84</v>
      </c>
      <c r="B46" s="32" t="s">
        <v>85</v>
      </c>
      <c r="C46" s="32" t="s">
        <v>47</v>
      </c>
      <c r="D46" s="32" t="s">
        <v>48</v>
      </c>
      <c r="E46" s="32" t="s">
        <v>87</v>
      </c>
      <c r="F46" s="22" t="s">
        <v>99</v>
      </c>
      <c r="G46" s="32" t="s">
        <v>51</v>
      </c>
      <c r="H46" s="32" t="s">
        <v>91</v>
      </c>
      <c r="I46" s="32" t="s">
        <v>53</v>
      </c>
      <c r="J46" s="23">
        <v>3</v>
      </c>
      <c r="K46" s="33"/>
      <c r="L46" s="34">
        <f>12097088.04-L47</f>
        <v>10817759.439999999</v>
      </c>
      <c r="M46" s="34">
        <v>359979.2</v>
      </c>
      <c r="N46" s="25">
        <f t="shared" si="8"/>
        <v>10457780.24</v>
      </c>
      <c r="O46" s="35"/>
      <c r="P46" s="35"/>
      <c r="Q46" s="35"/>
      <c r="R46" s="25">
        <f t="shared" si="9"/>
        <v>10457780.24</v>
      </c>
      <c r="S46" s="34">
        <f>6122425.94-S47</f>
        <v>5333650.62</v>
      </c>
      <c r="T46" s="37">
        <f t="shared" si="10"/>
        <v>0.51001747001713627</v>
      </c>
      <c r="U46" s="53">
        <f>470897.44-U47</f>
        <v>420602.69</v>
      </c>
      <c r="V46" s="37">
        <f t="shared" si="11"/>
        <v>4.0219117283726742E-2</v>
      </c>
      <c r="W46" s="34">
        <f>464554.23-W47</f>
        <v>414259.48</v>
      </c>
      <c r="X46" s="37">
        <f t="shared" si="12"/>
        <v>3.9612563134143651E-2</v>
      </c>
    </row>
    <row r="47" spans="1:24" ht="63" customHeight="1" x14ac:dyDescent="0.2">
      <c r="A47" s="21" t="s">
        <v>84</v>
      </c>
      <c r="B47" s="32" t="s">
        <v>85</v>
      </c>
      <c r="C47" s="32" t="s">
        <v>47</v>
      </c>
      <c r="D47" s="32" t="s">
        <v>48</v>
      </c>
      <c r="E47" s="32" t="s">
        <v>87</v>
      </c>
      <c r="F47" s="22" t="s">
        <v>99</v>
      </c>
      <c r="G47" s="32" t="s">
        <v>51</v>
      </c>
      <c r="H47" s="32" t="s">
        <v>91</v>
      </c>
      <c r="I47" s="32" t="s">
        <v>53</v>
      </c>
      <c r="J47" s="43">
        <v>4</v>
      </c>
      <c r="K47" s="33">
        <v>0</v>
      </c>
      <c r="L47" s="34">
        <f>1227349.4+51979.2</f>
        <v>1279328.5999999999</v>
      </c>
      <c r="M47" s="34">
        <v>0</v>
      </c>
      <c r="N47" s="25">
        <f t="shared" si="8"/>
        <v>1279328.5999999999</v>
      </c>
      <c r="O47" s="35"/>
      <c r="P47" s="35"/>
      <c r="Q47" s="35"/>
      <c r="R47" s="25">
        <f t="shared" si="9"/>
        <v>1279328.5999999999</v>
      </c>
      <c r="S47" s="34">
        <f>310756.52+426039.6+51979.2</f>
        <v>788775.32</v>
      </c>
      <c r="T47" s="37">
        <f t="shared" si="10"/>
        <v>0.61655412065359916</v>
      </c>
      <c r="U47" s="45">
        <f>50294.75</f>
        <v>50294.75</v>
      </c>
      <c r="V47" s="37">
        <f t="shared" si="11"/>
        <v>3.9313394541480591E-2</v>
      </c>
      <c r="W47" s="34">
        <f>50294.75</f>
        <v>50294.75</v>
      </c>
      <c r="X47" s="37">
        <f t="shared" si="12"/>
        <v>3.9313394541480591E-2</v>
      </c>
    </row>
    <row r="48" spans="1:24" ht="63" customHeight="1" x14ac:dyDescent="0.2">
      <c r="A48" s="21" t="s">
        <v>84</v>
      </c>
      <c r="B48" s="32" t="s">
        <v>85</v>
      </c>
      <c r="C48" s="32" t="s">
        <v>47</v>
      </c>
      <c r="D48" s="32" t="s">
        <v>54</v>
      </c>
      <c r="E48" s="32" t="s">
        <v>87</v>
      </c>
      <c r="F48" s="32" t="s">
        <v>100</v>
      </c>
      <c r="G48" s="32" t="s">
        <v>51</v>
      </c>
      <c r="H48" s="32" t="s">
        <v>89</v>
      </c>
      <c r="I48" s="32" t="s">
        <v>53</v>
      </c>
      <c r="J48" s="23">
        <v>3</v>
      </c>
      <c r="K48" s="33">
        <v>65000</v>
      </c>
      <c r="L48" s="34">
        <v>0</v>
      </c>
      <c r="M48" s="34">
        <v>0</v>
      </c>
      <c r="N48" s="25">
        <f t="shared" si="8"/>
        <v>65000</v>
      </c>
      <c r="O48" s="35"/>
      <c r="P48" s="35"/>
      <c r="Q48" s="35"/>
      <c r="R48" s="25">
        <f t="shared" si="9"/>
        <v>65000</v>
      </c>
      <c r="S48" s="34">
        <v>0</v>
      </c>
      <c r="T48" s="37">
        <f t="shared" si="10"/>
        <v>0</v>
      </c>
      <c r="U48" s="53">
        <v>0</v>
      </c>
      <c r="V48" s="37">
        <f t="shared" si="11"/>
        <v>0</v>
      </c>
      <c r="W48" s="34">
        <v>0</v>
      </c>
      <c r="X48" s="37">
        <f t="shared" si="12"/>
        <v>0</v>
      </c>
    </row>
    <row r="49" spans="1:24" ht="63" customHeight="1" x14ac:dyDescent="0.2">
      <c r="A49" s="21" t="s">
        <v>84</v>
      </c>
      <c r="B49" s="32" t="s">
        <v>85</v>
      </c>
      <c r="C49" s="32" t="s">
        <v>47</v>
      </c>
      <c r="D49" s="32" t="s">
        <v>54</v>
      </c>
      <c r="E49" s="32" t="s">
        <v>101</v>
      </c>
      <c r="F49" s="32" t="s">
        <v>100</v>
      </c>
      <c r="G49" s="32" t="s">
        <v>51</v>
      </c>
      <c r="H49" s="32" t="s">
        <v>91</v>
      </c>
      <c r="I49" s="32" t="s">
        <v>60</v>
      </c>
      <c r="J49" s="23">
        <v>3</v>
      </c>
      <c r="K49" s="33">
        <v>0</v>
      </c>
      <c r="L49" s="34">
        <v>3825000</v>
      </c>
      <c r="M49" s="34">
        <v>0</v>
      </c>
      <c r="N49" s="25">
        <f t="shared" si="8"/>
        <v>3825000</v>
      </c>
      <c r="O49" s="35"/>
      <c r="P49" s="35"/>
      <c r="Q49" s="35"/>
      <c r="R49" s="25">
        <f t="shared" si="9"/>
        <v>3825000</v>
      </c>
      <c r="S49" s="36">
        <v>3497622.56</v>
      </c>
      <c r="T49" s="37">
        <f t="shared" si="10"/>
        <v>0.91441112679738568</v>
      </c>
      <c r="U49" s="53">
        <v>3497622.56</v>
      </c>
      <c r="V49" s="37">
        <f t="shared" si="11"/>
        <v>0.91441112679738568</v>
      </c>
      <c r="W49" s="34">
        <v>2807959.71</v>
      </c>
      <c r="X49" s="37">
        <f t="shared" si="12"/>
        <v>0.7341071137254902</v>
      </c>
    </row>
    <row r="50" spans="1:24" ht="63" customHeight="1" x14ac:dyDescent="0.2">
      <c r="A50" s="21" t="s">
        <v>84</v>
      </c>
      <c r="B50" s="32" t="s">
        <v>85</v>
      </c>
      <c r="C50" s="32" t="s">
        <v>47</v>
      </c>
      <c r="D50" s="32" t="s">
        <v>102</v>
      </c>
      <c r="E50" s="32" t="s">
        <v>101</v>
      </c>
      <c r="F50" s="32" t="s">
        <v>103</v>
      </c>
      <c r="G50" s="32" t="s">
        <v>51</v>
      </c>
      <c r="H50" s="32" t="s">
        <v>89</v>
      </c>
      <c r="I50" s="32" t="s">
        <v>60</v>
      </c>
      <c r="J50" s="43">
        <v>4</v>
      </c>
      <c r="K50" s="33">
        <v>800000</v>
      </c>
      <c r="L50" s="34">
        <v>0</v>
      </c>
      <c r="M50" s="34">
        <v>800000</v>
      </c>
      <c r="N50" s="25">
        <f t="shared" si="8"/>
        <v>0</v>
      </c>
      <c r="O50" s="35"/>
      <c r="P50" s="35"/>
      <c r="Q50" s="35"/>
      <c r="R50" s="25">
        <f t="shared" si="9"/>
        <v>0</v>
      </c>
      <c r="S50" s="36">
        <v>0</v>
      </c>
      <c r="T50" s="37">
        <f t="shared" si="10"/>
        <v>0</v>
      </c>
      <c r="U50" s="45">
        <v>0</v>
      </c>
      <c r="V50" s="37">
        <f t="shared" si="11"/>
        <v>0</v>
      </c>
      <c r="W50" s="34">
        <v>0</v>
      </c>
      <c r="X50" s="37">
        <f t="shared" si="12"/>
        <v>0</v>
      </c>
    </row>
    <row r="51" spans="1:24" ht="63" customHeight="1" x14ac:dyDescent="0.2">
      <c r="A51" s="21" t="s">
        <v>84</v>
      </c>
      <c r="B51" s="32" t="s">
        <v>85</v>
      </c>
      <c r="C51" s="32" t="s">
        <v>47</v>
      </c>
      <c r="D51" s="32" t="s">
        <v>150</v>
      </c>
      <c r="E51" s="32" t="s">
        <v>101</v>
      </c>
      <c r="F51" s="32" t="s">
        <v>103</v>
      </c>
      <c r="G51" s="32" t="s">
        <v>51</v>
      </c>
      <c r="H51" s="32" t="s">
        <v>91</v>
      </c>
      <c r="I51" s="32" t="s">
        <v>60</v>
      </c>
      <c r="J51" s="43">
        <v>4</v>
      </c>
      <c r="K51" s="33">
        <v>0</v>
      </c>
      <c r="L51" s="34">
        <v>50812.5</v>
      </c>
      <c r="M51" s="34">
        <v>0</v>
      </c>
      <c r="N51" s="25">
        <f t="shared" si="8"/>
        <v>50812.5</v>
      </c>
      <c r="O51" s="35"/>
      <c r="P51" s="35"/>
      <c r="Q51" s="35"/>
      <c r="R51" s="25">
        <f t="shared" si="9"/>
        <v>50812.5</v>
      </c>
      <c r="S51" s="36">
        <v>30000</v>
      </c>
      <c r="T51" s="37">
        <f t="shared" si="10"/>
        <v>0.59040590405904059</v>
      </c>
      <c r="U51" s="45">
        <v>0</v>
      </c>
      <c r="V51" s="37">
        <f t="shared" si="11"/>
        <v>0</v>
      </c>
      <c r="W51" s="34">
        <v>0</v>
      </c>
      <c r="X51" s="37">
        <f t="shared" si="12"/>
        <v>0</v>
      </c>
    </row>
    <row r="52" spans="1:24" ht="63" customHeight="1" x14ac:dyDescent="0.2">
      <c r="A52" s="21" t="s">
        <v>84</v>
      </c>
      <c r="B52" s="32" t="s">
        <v>85</v>
      </c>
      <c r="C52" s="32" t="s">
        <v>47</v>
      </c>
      <c r="D52" s="32" t="s">
        <v>104</v>
      </c>
      <c r="E52" s="32" t="s">
        <v>101</v>
      </c>
      <c r="F52" s="32" t="s">
        <v>105</v>
      </c>
      <c r="G52" s="32" t="s">
        <v>51</v>
      </c>
      <c r="H52" s="32" t="s">
        <v>89</v>
      </c>
      <c r="I52" s="32" t="s">
        <v>60</v>
      </c>
      <c r="J52" s="43">
        <v>4</v>
      </c>
      <c r="K52" s="33">
        <v>50000</v>
      </c>
      <c r="L52" s="34">
        <v>0</v>
      </c>
      <c r="M52" s="34">
        <v>50000</v>
      </c>
      <c r="N52" s="25">
        <f t="shared" si="8"/>
        <v>0</v>
      </c>
      <c r="O52" s="35"/>
      <c r="P52" s="35"/>
      <c r="Q52" s="35"/>
      <c r="R52" s="25">
        <f t="shared" si="9"/>
        <v>0</v>
      </c>
      <c r="S52" s="36">
        <v>0</v>
      </c>
      <c r="T52" s="37">
        <f t="shared" si="10"/>
        <v>0</v>
      </c>
      <c r="U52" s="45">
        <v>0</v>
      </c>
      <c r="V52" s="37">
        <f t="shared" si="11"/>
        <v>0</v>
      </c>
      <c r="W52" s="34">
        <v>0</v>
      </c>
      <c r="X52" s="37">
        <f t="shared" si="12"/>
        <v>0</v>
      </c>
    </row>
    <row r="53" spans="1:24" ht="63" customHeight="1" x14ac:dyDescent="0.2">
      <c r="A53" s="21" t="s">
        <v>84</v>
      </c>
      <c r="B53" s="32" t="s">
        <v>85</v>
      </c>
      <c r="C53" s="32" t="s">
        <v>47</v>
      </c>
      <c r="D53" s="32" t="s">
        <v>108</v>
      </c>
      <c r="E53" s="32" t="s">
        <v>101</v>
      </c>
      <c r="F53" s="32" t="s">
        <v>107</v>
      </c>
      <c r="G53" s="32" t="s">
        <v>51</v>
      </c>
      <c r="H53" s="32" t="s">
        <v>89</v>
      </c>
      <c r="I53" s="32" t="s">
        <v>60</v>
      </c>
      <c r="J53" s="43">
        <v>4</v>
      </c>
      <c r="K53" s="33">
        <v>200000</v>
      </c>
      <c r="L53" s="34">
        <v>0</v>
      </c>
      <c r="M53" s="34">
        <v>0</v>
      </c>
      <c r="N53" s="25">
        <f t="shared" si="8"/>
        <v>200000</v>
      </c>
      <c r="O53" s="35"/>
      <c r="P53" s="35"/>
      <c r="Q53" s="35"/>
      <c r="R53" s="25">
        <f t="shared" si="9"/>
        <v>200000</v>
      </c>
      <c r="S53" s="36">
        <v>200000</v>
      </c>
      <c r="T53" s="37">
        <f t="shared" si="10"/>
        <v>1</v>
      </c>
      <c r="U53" s="45">
        <v>0</v>
      </c>
      <c r="V53" s="37">
        <f t="shared" si="11"/>
        <v>0</v>
      </c>
      <c r="W53" s="34">
        <v>0</v>
      </c>
      <c r="X53" s="37">
        <f t="shared" si="12"/>
        <v>0</v>
      </c>
    </row>
    <row r="54" spans="1:24" ht="63" customHeight="1" x14ac:dyDescent="0.2">
      <c r="A54" s="21" t="s">
        <v>84</v>
      </c>
      <c r="B54" s="32" t="s">
        <v>85</v>
      </c>
      <c r="C54" s="32" t="s">
        <v>47</v>
      </c>
      <c r="D54" s="32" t="s">
        <v>106</v>
      </c>
      <c r="E54" s="32" t="s">
        <v>101</v>
      </c>
      <c r="F54" s="32" t="s">
        <v>107</v>
      </c>
      <c r="G54" s="32" t="s">
        <v>51</v>
      </c>
      <c r="H54" s="32" t="s">
        <v>89</v>
      </c>
      <c r="I54" s="32" t="s">
        <v>60</v>
      </c>
      <c r="J54" s="23">
        <v>3</v>
      </c>
      <c r="K54" s="33">
        <v>0</v>
      </c>
      <c r="L54" s="34">
        <v>21603.9</v>
      </c>
      <c r="M54" s="34">
        <v>0</v>
      </c>
      <c r="N54" s="25">
        <f t="shared" si="8"/>
        <v>21603.9</v>
      </c>
      <c r="O54" s="35"/>
      <c r="P54" s="35"/>
      <c r="Q54" s="35"/>
      <c r="R54" s="25">
        <f t="shared" si="9"/>
        <v>21603.9</v>
      </c>
      <c r="S54" s="36">
        <v>21603.9</v>
      </c>
      <c r="T54" s="37">
        <f t="shared" si="10"/>
        <v>1</v>
      </c>
      <c r="U54" s="28">
        <v>21603.9</v>
      </c>
      <c r="V54" s="37">
        <f t="shared" si="11"/>
        <v>1</v>
      </c>
      <c r="W54" s="34">
        <v>21603.9</v>
      </c>
      <c r="X54" s="37">
        <f t="shared" si="12"/>
        <v>1</v>
      </c>
    </row>
    <row r="55" spans="1:24" ht="63" customHeight="1" x14ac:dyDescent="0.2">
      <c r="A55" s="21" t="s">
        <v>84</v>
      </c>
      <c r="B55" s="32" t="s">
        <v>85</v>
      </c>
      <c r="C55" s="32" t="s">
        <v>47</v>
      </c>
      <c r="D55" s="32" t="s">
        <v>106</v>
      </c>
      <c r="E55" s="32" t="s">
        <v>101</v>
      </c>
      <c r="F55" s="32" t="s">
        <v>107</v>
      </c>
      <c r="G55" s="32" t="s">
        <v>51</v>
      </c>
      <c r="H55" s="32" t="s">
        <v>89</v>
      </c>
      <c r="I55" s="32" t="s">
        <v>60</v>
      </c>
      <c r="J55" s="43">
        <v>4</v>
      </c>
      <c r="K55" s="33">
        <v>0</v>
      </c>
      <c r="L55" s="34">
        <v>152093.76000000001</v>
      </c>
      <c r="M55" s="34">
        <v>0</v>
      </c>
      <c r="N55" s="25">
        <f t="shared" si="8"/>
        <v>152093.76000000001</v>
      </c>
      <c r="O55" s="35"/>
      <c r="P55" s="35"/>
      <c r="Q55" s="35"/>
      <c r="R55" s="25">
        <f t="shared" si="9"/>
        <v>152093.76000000001</v>
      </c>
      <c r="S55" s="36">
        <v>152093.76000000001</v>
      </c>
      <c r="T55" s="37">
        <f t="shared" si="10"/>
        <v>1</v>
      </c>
      <c r="U55" s="103">
        <v>152093.76000000001</v>
      </c>
      <c r="V55" s="37">
        <f t="shared" si="11"/>
        <v>1</v>
      </c>
      <c r="W55" s="34">
        <v>152093.76000000001</v>
      </c>
      <c r="X55" s="37">
        <f t="shared" si="12"/>
        <v>1</v>
      </c>
    </row>
    <row r="56" spans="1:24" ht="63" customHeight="1" x14ac:dyDescent="0.2">
      <c r="A56" s="21" t="s">
        <v>84</v>
      </c>
      <c r="B56" s="32" t="s">
        <v>85</v>
      </c>
      <c r="C56" s="32" t="s">
        <v>47</v>
      </c>
      <c r="D56" s="32" t="s">
        <v>106</v>
      </c>
      <c r="E56" s="32" t="s">
        <v>101</v>
      </c>
      <c r="F56" s="32" t="s">
        <v>107</v>
      </c>
      <c r="G56" s="32" t="s">
        <v>51</v>
      </c>
      <c r="H56" s="32" t="s">
        <v>91</v>
      </c>
      <c r="I56" s="32" t="s">
        <v>60</v>
      </c>
      <c r="J56" s="43">
        <v>4</v>
      </c>
      <c r="K56" s="33">
        <v>0</v>
      </c>
      <c r="L56" s="34">
        <v>81150</v>
      </c>
      <c r="M56" s="34">
        <v>0</v>
      </c>
      <c r="N56" s="25">
        <f t="shared" si="8"/>
        <v>81150</v>
      </c>
      <c r="O56" s="35"/>
      <c r="P56" s="35"/>
      <c r="Q56" s="35"/>
      <c r="R56" s="25">
        <f t="shared" si="9"/>
        <v>81150</v>
      </c>
      <c r="S56" s="36">
        <v>0</v>
      </c>
      <c r="T56" s="37">
        <f t="shared" si="10"/>
        <v>0</v>
      </c>
      <c r="U56" s="103">
        <v>0</v>
      </c>
      <c r="V56" s="37">
        <f t="shared" si="11"/>
        <v>0</v>
      </c>
      <c r="W56" s="34">
        <v>0</v>
      </c>
      <c r="X56" s="37">
        <f t="shared" si="12"/>
        <v>0</v>
      </c>
    </row>
    <row r="57" spans="1:24" ht="63" customHeight="1" x14ac:dyDescent="0.2">
      <c r="A57" s="21" t="s">
        <v>84</v>
      </c>
      <c r="B57" s="32" t="s">
        <v>85</v>
      </c>
      <c r="C57" s="32" t="s">
        <v>47</v>
      </c>
      <c r="D57" s="32" t="s">
        <v>58</v>
      </c>
      <c r="E57" s="32" t="s">
        <v>101</v>
      </c>
      <c r="F57" s="32" t="s">
        <v>59</v>
      </c>
      <c r="G57" s="32" t="s">
        <v>51</v>
      </c>
      <c r="H57" s="32" t="s">
        <v>109</v>
      </c>
      <c r="I57" s="32" t="s">
        <v>60</v>
      </c>
      <c r="J57" s="23">
        <v>3</v>
      </c>
      <c r="K57" s="33">
        <v>300000</v>
      </c>
      <c r="L57" s="34">
        <v>35315</v>
      </c>
      <c r="M57" s="34">
        <v>35315</v>
      </c>
      <c r="N57" s="25">
        <f t="shared" si="8"/>
        <v>300000</v>
      </c>
      <c r="O57" s="35"/>
      <c r="P57" s="35"/>
      <c r="Q57" s="35"/>
      <c r="R57" s="25">
        <f t="shared" si="9"/>
        <v>300000</v>
      </c>
      <c r="S57" s="36">
        <v>106645.7</v>
      </c>
      <c r="T57" s="37">
        <f t="shared" si="10"/>
        <v>0.35548566666666664</v>
      </c>
      <c r="U57" s="53">
        <v>82403.5</v>
      </c>
      <c r="V57" s="37">
        <f t="shared" si="11"/>
        <v>0.27467833333333336</v>
      </c>
      <c r="W57" s="34">
        <v>82403.5</v>
      </c>
      <c r="X57" s="37">
        <f t="shared" si="12"/>
        <v>0.27467833333333336</v>
      </c>
    </row>
    <row r="58" spans="1:24" ht="63" customHeight="1" x14ac:dyDescent="0.2">
      <c r="A58" s="21" t="s">
        <v>84</v>
      </c>
      <c r="B58" s="22" t="s">
        <v>85</v>
      </c>
      <c r="C58" s="22" t="s">
        <v>47</v>
      </c>
      <c r="D58" s="22" t="s">
        <v>61</v>
      </c>
      <c r="E58" s="32" t="s">
        <v>101</v>
      </c>
      <c r="F58" s="32" t="s">
        <v>63</v>
      </c>
      <c r="G58" s="22" t="s">
        <v>51</v>
      </c>
      <c r="H58" s="22" t="s">
        <v>89</v>
      </c>
      <c r="I58" s="22" t="s">
        <v>60</v>
      </c>
      <c r="J58" s="23">
        <v>3</v>
      </c>
      <c r="K58" s="33">
        <v>20000</v>
      </c>
      <c r="L58" s="24">
        <v>0</v>
      </c>
      <c r="M58" s="24">
        <v>47</v>
      </c>
      <c r="N58" s="25">
        <f t="shared" si="8"/>
        <v>19953</v>
      </c>
      <c r="O58" s="25"/>
      <c r="P58" s="25"/>
      <c r="Q58" s="25"/>
      <c r="R58" s="25">
        <f t="shared" si="9"/>
        <v>19953</v>
      </c>
      <c r="S58" s="36">
        <v>0</v>
      </c>
      <c r="T58" s="27">
        <f t="shared" si="10"/>
        <v>0</v>
      </c>
      <c r="U58" s="28">
        <v>0</v>
      </c>
      <c r="V58" s="27">
        <f t="shared" si="11"/>
        <v>0</v>
      </c>
      <c r="W58" s="24">
        <v>0</v>
      </c>
      <c r="X58" s="27">
        <f t="shared" si="12"/>
        <v>0</v>
      </c>
    </row>
    <row r="59" spans="1:24" ht="63" customHeight="1" x14ac:dyDescent="0.2">
      <c r="A59" s="21" t="s">
        <v>84</v>
      </c>
      <c r="B59" s="22" t="s">
        <v>85</v>
      </c>
      <c r="C59" s="22" t="s">
        <v>47</v>
      </c>
      <c r="D59" s="22" t="s">
        <v>61</v>
      </c>
      <c r="E59" s="32" t="s">
        <v>101</v>
      </c>
      <c r="F59" s="32" t="s">
        <v>63</v>
      </c>
      <c r="G59" s="22" t="s">
        <v>51</v>
      </c>
      <c r="H59" s="22" t="s">
        <v>91</v>
      </c>
      <c r="I59" s="22" t="s">
        <v>60</v>
      </c>
      <c r="J59" s="23">
        <v>3</v>
      </c>
      <c r="K59" s="33">
        <v>0</v>
      </c>
      <c r="L59" s="24">
        <v>405500</v>
      </c>
      <c r="M59" s="24">
        <v>0</v>
      </c>
      <c r="N59" s="25">
        <f t="shared" si="8"/>
        <v>405500</v>
      </c>
      <c r="O59" s="25"/>
      <c r="P59" s="25"/>
      <c r="Q59" s="25"/>
      <c r="R59" s="25">
        <f t="shared" si="9"/>
        <v>405500</v>
      </c>
      <c r="S59" s="36">
        <v>283509.24</v>
      </c>
      <c r="T59" s="27">
        <f t="shared" si="10"/>
        <v>0.69915965474722563</v>
      </c>
      <c r="U59" s="28">
        <v>283509.24</v>
      </c>
      <c r="V59" s="27">
        <f t="shared" si="11"/>
        <v>0.69915965474722563</v>
      </c>
      <c r="W59" s="24">
        <v>233637.7</v>
      </c>
      <c r="X59" s="27">
        <f t="shared" si="12"/>
        <v>0.57617188655980278</v>
      </c>
    </row>
    <row r="60" spans="1:24" ht="63" customHeight="1" x14ac:dyDescent="0.2">
      <c r="A60" s="21" t="s">
        <v>84</v>
      </c>
      <c r="B60" s="22" t="s">
        <v>85</v>
      </c>
      <c r="C60" s="22" t="s">
        <v>47</v>
      </c>
      <c r="D60" s="22" t="s">
        <v>110</v>
      </c>
      <c r="E60" s="32" t="s">
        <v>101</v>
      </c>
      <c r="F60" s="32" t="s">
        <v>111</v>
      </c>
      <c r="G60" s="22" t="s">
        <v>51</v>
      </c>
      <c r="H60" s="22" t="s">
        <v>89</v>
      </c>
      <c r="I60" s="22" t="s">
        <v>60</v>
      </c>
      <c r="J60" s="23">
        <v>3</v>
      </c>
      <c r="K60" s="33">
        <f>9026663-K61</f>
        <v>8826663</v>
      </c>
      <c r="L60" s="24">
        <f>7509655.04-L61</f>
        <v>6821638.9400000004</v>
      </c>
      <c r="M60" s="24">
        <v>612956.77</v>
      </c>
      <c r="N60" s="25">
        <f t="shared" si="8"/>
        <v>15035345.170000002</v>
      </c>
      <c r="O60" s="25"/>
      <c r="P60" s="25"/>
      <c r="Q60" s="25"/>
      <c r="R60" s="25">
        <f t="shared" si="9"/>
        <v>15035345.170000002</v>
      </c>
      <c r="S60" s="24">
        <f>15795182.24-S61</f>
        <v>14928753.49</v>
      </c>
      <c r="T60" s="27">
        <f t="shared" si="10"/>
        <v>0.99291059308617113</v>
      </c>
      <c r="U60" s="28">
        <f>8690941.59-U61</f>
        <v>7834560.8399999999</v>
      </c>
      <c r="V60" s="27">
        <f t="shared" si="11"/>
        <v>0.52107622082612948</v>
      </c>
      <c r="W60" s="24">
        <f>8575725.7-W61</f>
        <v>7719344.9499999993</v>
      </c>
      <c r="X60" s="27">
        <f t="shared" si="12"/>
        <v>0.5134132181682397</v>
      </c>
    </row>
    <row r="61" spans="1:24" ht="63" customHeight="1" x14ac:dyDescent="0.2">
      <c r="A61" s="21" t="s">
        <v>84</v>
      </c>
      <c r="B61" s="22" t="s">
        <v>85</v>
      </c>
      <c r="C61" s="22" t="s">
        <v>47</v>
      </c>
      <c r="D61" s="22" t="s">
        <v>110</v>
      </c>
      <c r="E61" s="32" t="s">
        <v>101</v>
      </c>
      <c r="F61" s="32" t="s">
        <v>111</v>
      </c>
      <c r="G61" s="22" t="s">
        <v>51</v>
      </c>
      <c r="H61" s="22" t="s">
        <v>89</v>
      </c>
      <c r="I61" s="22" t="s">
        <v>60</v>
      </c>
      <c r="J61" s="43">
        <v>4</v>
      </c>
      <c r="K61" s="33">
        <v>200000</v>
      </c>
      <c r="L61" s="24">
        <v>688016.1</v>
      </c>
      <c r="M61" s="24">
        <v>0</v>
      </c>
      <c r="N61" s="25">
        <f t="shared" si="8"/>
        <v>888016.1</v>
      </c>
      <c r="O61" s="25"/>
      <c r="P61" s="25"/>
      <c r="Q61" s="25"/>
      <c r="R61" s="25">
        <f t="shared" si="9"/>
        <v>888016.1</v>
      </c>
      <c r="S61" s="24">
        <f>1498+2892.75+2350+859688</f>
        <v>866428.75</v>
      </c>
      <c r="T61" s="27">
        <f t="shared" si="10"/>
        <v>0.97569036192023995</v>
      </c>
      <c r="U61" s="45">
        <f>1498+2892.75+2350+849640</f>
        <v>856380.75</v>
      </c>
      <c r="V61" s="27">
        <f t="shared" si="11"/>
        <v>0.9643752517550076</v>
      </c>
      <c r="W61" s="24">
        <f>1498+2892.75+2350+849640</f>
        <v>856380.75</v>
      </c>
      <c r="X61" s="27">
        <f t="shared" si="12"/>
        <v>0.9643752517550076</v>
      </c>
    </row>
    <row r="62" spans="1:24" ht="63" customHeight="1" x14ac:dyDescent="0.2">
      <c r="A62" s="21" t="s">
        <v>84</v>
      </c>
      <c r="B62" s="22" t="s">
        <v>85</v>
      </c>
      <c r="C62" s="22" t="s">
        <v>47</v>
      </c>
      <c r="D62" s="22" t="s">
        <v>110</v>
      </c>
      <c r="E62" s="32" t="s">
        <v>101</v>
      </c>
      <c r="F62" s="32" t="s">
        <v>111</v>
      </c>
      <c r="G62" s="22" t="s">
        <v>51</v>
      </c>
      <c r="H62" s="22" t="s">
        <v>91</v>
      </c>
      <c r="I62" s="22" t="s">
        <v>60</v>
      </c>
      <c r="J62" s="23">
        <v>3</v>
      </c>
      <c r="K62" s="33">
        <v>0</v>
      </c>
      <c r="L62" s="24">
        <f>9245860.41-L63</f>
        <v>8412626.2100000009</v>
      </c>
      <c r="M62" s="24">
        <v>117200</v>
      </c>
      <c r="N62" s="25">
        <f t="shared" si="8"/>
        <v>8295426.2100000009</v>
      </c>
      <c r="O62" s="25"/>
      <c r="P62" s="25"/>
      <c r="Q62" s="25"/>
      <c r="R62" s="25">
        <f t="shared" si="9"/>
        <v>8295426.2100000009</v>
      </c>
      <c r="S62" s="34">
        <f>3654857.95-S63</f>
        <v>3163929.02</v>
      </c>
      <c r="T62" s="27">
        <f t="shared" si="10"/>
        <v>0.38140644493780623</v>
      </c>
      <c r="U62" s="28">
        <f>2247123.63-U63</f>
        <v>2157423.6999999997</v>
      </c>
      <c r="V62" s="27">
        <f t="shared" si="11"/>
        <v>0.26007388232798223</v>
      </c>
      <c r="W62" s="24">
        <f>2101198.49-W63</f>
        <v>2011498.5600000003</v>
      </c>
      <c r="X62" s="27">
        <f t="shared" si="12"/>
        <v>0.24248284646003743</v>
      </c>
    </row>
    <row r="63" spans="1:24" ht="63" customHeight="1" x14ac:dyDescent="0.2">
      <c r="A63" s="21" t="s">
        <v>84</v>
      </c>
      <c r="B63" s="22" t="s">
        <v>85</v>
      </c>
      <c r="C63" s="22" t="s">
        <v>47</v>
      </c>
      <c r="D63" s="22" t="s">
        <v>110</v>
      </c>
      <c r="E63" s="32" t="s">
        <v>101</v>
      </c>
      <c r="F63" s="32" t="s">
        <v>111</v>
      </c>
      <c r="G63" s="22" t="s">
        <v>51</v>
      </c>
      <c r="H63" s="22" t="s">
        <v>91</v>
      </c>
      <c r="I63" s="22" t="s">
        <v>60</v>
      </c>
      <c r="J63" s="43">
        <v>4</v>
      </c>
      <c r="K63" s="33">
        <f>0</f>
        <v>0</v>
      </c>
      <c r="L63" s="24">
        <v>833234.2</v>
      </c>
      <c r="M63" s="24">
        <v>0</v>
      </c>
      <c r="N63" s="25">
        <f t="shared" si="8"/>
        <v>833234.2</v>
      </c>
      <c r="O63" s="25"/>
      <c r="P63" s="25"/>
      <c r="Q63" s="25"/>
      <c r="R63" s="25">
        <f t="shared" si="9"/>
        <v>833234.2</v>
      </c>
      <c r="S63" s="34">
        <f>97599.93+25659+7450+9500+350720</f>
        <v>490928.93</v>
      </c>
      <c r="T63" s="27">
        <f t="shared" si="10"/>
        <v>0.58918480542445328</v>
      </c>
      <c r="U63" s="45">
        <f>80199.93+9500</f>
        <v>89699.93</v>
      </c>
      <c r="V63" s="27">
        <f t="shared" si="11"/>
        <v>0.10765272236785288</v>
      </c>
      <c r="W63" s="24">
        <f>80199.93+9500</f>
        <v>89699.93</v>
      </c>
      <c r="X63" s="27">
        <f t="shared" si="12"/>
        <v>0.10765272236785288</v>
      </c>
    </row>
    <row r="64" spans="1:24" ht="34.5" hidden="1" customHeight="1" x14ac:dyDescent="0.2">
      <c r="A64" s="21" t="s">
        <v>84</v>
      </c>
      <c r="B64" s="22" t="s">
        <v>85</v>
      </c>
      <c r="C64" s="22" t="s">
        <v>47</v>
      </c>
      <c r="D64" s="22" t="s">
        <v>110</v>
      </c>
      <c r="E64" s="32" t="s">
        <v>62</v>
      </c>
      <c r="F64" s="32" t="s">
        <v>111</v>
      </c>
      <c r="G64" s="22" t="s">
        <v>51</v>
      </c>
      <c r="H64" s="22" t="s">
        <v>112</v>
      </c>
      <c r="I64" s="22" t="s">
        <v>53</v>
      </c>
      <c r="J64" s="23">
        <v>3</v>
      </c>
      <c r="K64" s="33"/>
      <c r="L64" s="24"/>
      <c r="M64" s="24"/>
      <c r="N64" s="25">
        <f t="shared" si="8"/>
        <v>0</v>
      </c>
      <c r="O64" s="25"/>
      <c r="P64" s="25"/>
      <c r="Q64" s="25"/>
      <c r="R64" s="25">
        <f t="shared" si="9"/>
        <v>0</v>
      </c>
      <c r="S64" s="34"/>
      <c r="T64" s="27">
        <f t="shared" si="10"/>
        <v>0</v>
      </c>
      <c r="U64" s="28"/>
      <c r="V64" s="27">
        <f t="shared" si="11"/>
        <v>0</v>
      </c>
      <c r="W64" s="24"/>
      <c r="X64" s="27">
        <f t="shared" si="12"/>
        <v>0</v>
      </c>
    </row>
    <row r="65" spans="1:24" ht="63" customHeight="1" x14ac:dyDescent="0.2">
      <c r="A65" s="21" t="s">
        <v>84</v>
      </c>
      <c r="B65" s="22" t="s">
        <v>85</v>
      </c>
      <c r="C65" s="22" t="s">
        <v>47</v>
      </c>
      <c r="D65" s="22" t="s">
        <v>113</v>
      </c>
      <c r="E65" s="32" t="s">
        <v>62</v>
      </c>
      <c r="F65" s="22" t="s">
        <v>114</v>
      </c>
      <c r="G65" s="22" t="s">
        <v>51</v>
      </c>
      <c r="H65" s="22" t="s">
        <v>89</v>
      </c>
      <c r="I65" s="22" t="s">
        <v>53</v>
      </c>
      <c r="J65" s="23">
        <v>3</v>
      </c>
      <c r="K65" s="33">
        <v>300000</v>
      </c>
      <c r="L65" s="24">
        <v>0</v>
      </c>
      <c r="M65" s="24">
        <v>0</v>
      </c>
      <c r="N65" s="25">
        <f t="shared" si="8"/>
        <v>300000</v>
      </c>
      <c r="O65" s="25"/>
      <c r="P65" s="25"/>
      <c r="Q65" s="25"/>
      <c r="R65" s="25">
        <f t="shared" si="9"/>
        <v>300000</v>
      </c>
      <c r="S65" s="34">
        <v>230148</v>
      </c>
      <c r="T65" s="27">
        <f t="shared" si="10"/>
        <v>0.76715999999999995</v>
      </c>
      <c r="U65" s="28">
        <v>230148</v>
      </c>
      <c r="V65" s="27">
        <f t="shared" si="11"/>
        <v>0.76715999999999995</v>
      </c>
      <c r="W65" s="24">
        <v>230148</v>
      </c>
      <c r="X65" s="27">
        <f t="shared" si="12"/>
        <v>0.76715999999999995</v>
      </c>
    </row>
    <row r="66" spans="1:24" ht="63" customHeight="1" x14ac:dyDescent="0.2">
      <c r="A66" s="21" t="s">
        <v>84</v>
      </c>
      <c r="B66" s="22" t="s">
        <v>85</v>
      </c>
      <c r="C66" s="22" t="s">
        <v>47</v>
      </c>
      <c r="D66" s="22" t="s">
        <v>68</v>
      </c>
      <c r="E66" s="32" t="s">
        <v>62</v>
      </c>
      <c r="F66" s="22" t="s">
        <v>69</v>
      </c>
      <c r="G66" s="22" t="s">
        <v>51</v>
      </c>
      <c r="H66" s="22" t="s">
        <v>89</v>
      </c>
      <c r="I66" s="22" t="s">
        <v>53</v>
      </c>
      <c r="J66" s="23">
        <v>3</v>
      </c>
      <c r="K66" s="33">
        <v>15000</v>
      </c>
      <c r="L66" s="24">
        <v>0</v>
      </c>
      <c r="M66" s="24">
        <v>0</v>
      </c>
      <c r="N66" s="25">
        <f t="shared" si="8"/>
        <v>15000</v>
      </c>
      <c r="O66" s="25"/>
      <c r="P66" s="25"/>
      <c r="Q66" s="25"/>
      <c r="R66" s="25">
        <f t="shared" si="9"/>
        <v>15000</v>
      </c>
      <c r="S66" s="34">
        <v>0</v>
      </c>
      <c r="T66" s="27">
        <f t="shared" si="10"/>
        <v>0</v>
      </c>
      <c r="U66" s="54">
        <v>0</v>
      </c>
      <c r="V66" s="27">
        <f t="shared" si="11"/>
        <v>0</v>
      </c>
      <c r="W66" s="24">
        <v>0</v>
      </c>
      <c r="X66" s="27">
        <f t="shared" si="12"/>
        <v>0</v>
      </c>
    </row>
    <row r="67" spans="1:24" ht="63" customHeight="1" x14ac:dyDescent="0.2">
      <c r="A67" s="21" t="s">
        <v>84</v>
      </c>
      <c r="B67" s="22" t="s">
        <v>85</v>
      </c>
      <c r="C67" s="22" t="s">
        <v>47</v>
      </c>
      <c r="D67" s="22" t="s">
        <v>68</v>
      </c>
      <c r="E67" s="32" t="s">
        <v>62</v>
      </c>
      <c r="F67" s="22" t="s">
        <v>69</v>
      </c>
      <c r="G67" s="22" t="s">
        <v>51</v>
      </c>
      <c r="H67" s="22" t="s">
        <v>91</v>
      </c>
      <c r="I67" s="22" t="s">
        <v>53</v>
      </c>
      <c r="J67" s="23">
        <v>3</v>
      </c>
      <c r="K67" s="33">
        <v>0</v>
      </c>
      <c r="L67" s="24">
        <v>82500</v>
      </c>
      <c r="M67" s="24">
        <v>0</v>
      </c>
      <c r="N67" s="25">
        <f t="shared" si="8"/>
        <v>82500</v>
      </c>
      <c r="O67" s="25"/>
      <c r="P67" s="25"/>
      <c r="Q67" s="25"/>
      <c r="R67" s="25">
        <f t="shared" si="9"/>
        <v>82500</v>
      </c>
      <c r="S67" s="34">
        <v>58973.7</v>
      </c>
      <c r="T67" s="27">
        <f t="shared" si="10"/>
        <v>0.71483272727272729</v>
      </c>
      <c r="U67" s="28">
        <v>58973.7</v>
      </c>
      <c r="V67" s="27">
        <f t="shared" si="11"/>
        <v>0.71483272727272729</v>
      </c>
      <c r="W67" s="24">
        <v>48717.36</v>
      </c>
      <c r="X67" s="27">
        <f t="shared" si="12"/>
        <v>0.59051345454545456</v>
      </c>
    </row>
    <row r="68" spans="1:24" ht="72" customHeight="1" x14ac:dyDescent="0.2">
      <c r="A68" s="21" t="s">
        <v>84</v>
      </c>
      <c r="B68" s="22" t="s">
        <v>85</v>
      </c>
      <c r="C68" s="22" t="s">
        <v>115</v>
      </c>
      <c r="D68" s="22" t="s">
        <v>116</v>
      </c>
      <c r="E68" s="32" t="s">
        <v>62</v>
      </c>
      <c r="F68" s="22" t="s">
        <v>117</v>
      </c>
      <c r="G68" s="22" t="s">
        <v>51</v>
      </c>
      <c r="H68" s="22" t="s">
        <v>89</v>
      </c>
      <c r="I68" s="22" t="s">
        <v>53</v>
      </c>
      <c r="J68" s="23">
        <v>3</v>
      </c>
      <c r="K68" s="33">
        <f>18113000-K69</f>
        <v>15720000</v>
      </c>
      <c r="L68" s="24">
        <v>550000</v>
      </c>
      <c r="M68" s="24">
        <f>6561790.87-M69</f>
        <v>4510741.3</v>
      </c>
      <c r="N68" s="25">
        <f t="shared" si="8"/>
        <v>11759258.699999999</v>
      </c>
      <c r="O68" s="25"/>
      <c r="P68" s="25"/>
      <c r="Q68" s="25"/>
      <c r="R68" s="25">
        <f t="shared" si="9"/>
        <v>11759258.699999999</v>
      </c>
      <c r="S68" s="34">
        <f>10458696.41-S69</f>
        <v>10436496.41</v>
      </c>
      <c r="T68" s="27">
        <f t="shared" si="10"/>
        <v>0.88751312274471861</v>
      </c>
      <c r="U68" s="28">
        <v>5598557.6100000003</v>
      </c>
      <c r="V68" s="27">
        <f t="shared" si="11"/>
        <v>0.47609783514670023</v>
      </c>
      <c r="W68" s="24">
        <v>5598557.6100000003</v>
      </c>
      <c r="X68" s="27">
        <f t="shared" si="12"/>
        <v>0.47609783514670023</v>
      </c>
    </row>
    <row r="69" spans="1:24" ht="72" customHeight="1" x14ac:dyDescent="0.2">
      <c r="A69" s="21" t="s">
        <v>84</v>
      </c>
      <c r="B69" s="22" t="s">
        <v>85</v>
      </c>
      <c r="C69" s="22" t="s">
        <v>115</v>
      </c>
      <c r="D69" s="22" t="s">
        <v>116</v>
      </c>
      <c r="E69" s="32" t="s">
        <v>62</v>
      </c>
      <c r="F69" s="22" t="s">
        <v>117</v>
      </c>
      <c r="G69" s="22" t="s">
        <v>51</v>
      </c>
      <c r="H69" s="22" t="s">
        <v>89</v>
      </c>
      <c r="I69" s="22" t="s">
        <v>53</v>
      </c>
      <c r="J69" s="43">
        <v>4</v>
      </c>
      <c r="K69" s="33">
        <v>2393000</v>
      </c>
      <c r="L69" s="24">
        <v>0</v>
      </c>
      <c r="M69" s="24">
        <v>2051049.57</v>
      </c>
      <c r="N69" s="25">
        <f t="shared" si="8"/>
        <v>341950.42999999993</v>
      </c>
      <c r="O69" s="25"/>
      <c r="P69" s="25"/>
      <c r="Q69" s="25"/>
      <c r="R69" s="25">
        <f t="shared" si="9"/>
        <v>341950.42999999993</v>
      </c>
      <c r="S69" s="34">
        <v>22200</v>
      </c>
      <c r="T69" s="27">
        <f t="shared" si="10"/>
        <v>6.4921690550294106E-2</v>
      </c>
      <c r="U69" s="45">
        <v>0</v>
      </c>
      <c r="V69" s="27">
        <f t="shared" si="11"/>
        <v>0</v>
      </c>
      <c r="W69" s="24">
        <v>0</v>
      </c>
      <c r="X69" s="27">
        <f t="shared" si="12"/>
        <v>0</v>
      </c>
    </row>
    <row r="70" spans="1:24" ht="72" hidden="1" customHeight="1" x14ac:dyDescent="0.2">
      <c r="A70" s="21" t="s">
        <v>84</v>
      </c>
      <c r="B70" s="22" t="s">
        <v>85</v>
      </c>
      <c r="C70" s="22" t="s">
        <v>115</v>
      </c>
      <c r="D70" s="22" t="s">
        <v>116</v>
      </c>
      <c r="E70" s="32" t="s">
        <v>62</v>
      </c>
      <c r="F70" s="22" t="s">
        <v>117</v>
      </c>
      <c r="G70" s="22" t="s">
        <v>51</v>
      </c>
      <c r="H70" s="22" t="s">
        <v>91</v>
      </c>
      <c r="I70" s="22" t="s">
        <v>53</v>
      </c>
      <c r="J70" s="23">
        <v>3</v>
      </c>
      <c r="K70" s="33"/>
      <c r="L70" s="24"/>
      <c r="M70" s="24"/>
      <c r="N70" s="25">
        <f t="shared" si="8"/>
        <v>0</v>
      </c>
      <c r="O70" s="25"/>
      <c r="P70" s="25"/>
      <c r="Q70" s="25"/>
      <c r="R70" s="25">
        <f t="shared" si="9"/>
        <v>0</v>
      </c>
      <c r="S70" s="34"/>
      <c r="T70" s="27">
        <f t="shared" si="10"/>
        <v>0</v>
      </c>
      <c r="U70" s="28"/>
      <c r="V70" s="27">
        <f t="shared" si="11"/>
        <v>0</v>
      </c>
      <c r="W70" s="24"/>
      <c r="X70" s="27">
        <f t="shared" si="12"/>
        <v>0</v>
      </c>
    </row>
    <row r="71" spans="1:24" ht="72" customHeight="1" x14ac:dyDescent="0.2">
      <c r="A71" s="21" t="s">
        <v>84</v>
      </c>
      <c r="B71" s="22" t="s">
        <v>85</v>
      </c>
      <c r="C71" s="22" t="s">
        <v>115</v>
      </c>
      <c r="D71" s="22" t="s">
        <v>116</v>
      </c>
      <c r="E71" s="32" t="s">
        <v>62</v>
      </c>
      <c r="F71" s="22" t="s">
        <v>117</v>
      </c>
      <c r="G71" s="22" t="s">
        <v>51</v>
      </c>
      <c r="H71" s="22" t="s">
        <v>91</v>
      </c>
      <c r="I71" s="22" t="s">
        <v>53</v>
      </c>
      <c r="J71" s="23">
        <v>3</v>
      </c>
      <c r="K71" s="33">
        <v>0</v>
      </c>
      <c r="L71" s="24">
        <f>11549533-L72</f>
        <v>5224300</v>
      </c>
      <c r="M71" s="24">
        <v>0</v>
      </c>
      <c r="N71" s="25">
        <f t="shared" si="8"/>
        <v>5224300</v>
      </c>
      <c r="O71" s="25"/>
      <c r="P71" s="25"/>
      <c r="Q71" s="25"/>
      <c r="R71" s="25">
        <f t="shared" si="9"/>
        <v>5224300</v>
      </c>
      <c r="S71" s="34">
        <f>11189631.24-S72</f>
        <v>4866432.24</v>
      </c>
      <c r="T71" s="27">
        <f t="shared" si="10"/>
        <v>0.93149938556361622</v>
      </c>
      <c r="U71" s="54">
        <f>2305491.67-U72</f>
        <v>205491.66999999993</v>
      </c>
      <c r="V71" s="27">
        <f t="shared" si="11"/>
        <v>3.9333818884826663E-2</v>
      </c>
      <c r="W71" s="24">
        <f>2305491.67-W72</f>
        <v>205491.66999999993</v>
      </c>
      <c r="X71" s="27">
        <f t="shared" si="12"/>
        <v>3.9333818884826663E-2</v>
      </c>
    </row>
    <row r="72" spans="1:24" ht="72" customHeight="1" x14ac:dyDescent="0.2">
      <c r="A72" s="21" t="s">
        <v>84</v>
      </c>
      <c r="B72" s="22" t="s">
        <v>85</v>
      </c>
      <c r="C72" s="22" t="s">
        <v>115</v>
      </c>
      <c r="D72" s="22" t="s">
        <v>116</v>
      </c>
      <c r="E72" s="32" t="s">
        <v>62</v>
      </c>
      <c r="F72" s="22" t="s">
        <v>117</v>
      </c>
      <c r="G72" s="22" t="s">
        <v>51</v>
      </c>
      <c r="H72" s="22" t="s">
        <v>91</v>
      </c>
      <c r="I72" s="22" t="s">
        <v>53</v>
      </c>
      <c r="J72" s="43">
        <v>4</v>
      </c>
      <c r="K72" s="33">
        <v>0</v>
      </c>
      <c r="L72" s="24">
        <v>6325233</v>
      </c>
      <c r="M72" s="24">
        <v>0</v>
      </c>
      <c r="N72" s="25">
        <f t="shared" si="8"/>
        <v>6325233</v>
      </c>
      <c r="O72" s="25"/>
      <c r="P72" s="25"/>
      <c r="Q72" s="25"/>
      <c r="R72" s="25">
        <f t="shared" si="9"/>
        <v>6325233</v>
      </c>
      <c r="S72" s="34">
        <f>137700+6185499</f>
        <v>6323199</v>
      </c>
      <c r="T72" s="27">
        <f t="shared" si="10"/>
        <v>0.99967843081827978</v>
      </c>
      <c r="U72" s="45">
        <v>2100000</v>
      </c>
      <c r="V72" s="27">
        <f t="shared" si="11"/>
        <v>0.3320035799471735</v>
      </c>
      <c r="W72" s="24">
        <f>2100000</f>
        <v>2100000</v>
      </c>
      <c r="X72" s="27">
        <f t="shared" si="12"/>
        <v>0.3320035799471735</v>
      </c>
    </row>
    <row r="73" spans="1:24" ht="72" customHeight="1" x14ac:dyDescent="0.2">
      <c r="A73" s="21" t="s">
        <v>84</v>
      </c>
      <c r="B73" s="22" t="s">
        <v>85</v>
      </c>
      <c r="C73" s="22" t="s">
        <v>115</v>
      </c>
      <c r="D73" s="22" t="s">
        <v>118</v>
      </c>
      <c r="E73" s="32" t="s">
        <v>62</v>
      </c>
      <c r="F73" s="22" t="s">
        <v>119</v>
      </c>
      <c r="G73" s="22" t="s">
        <v>51</v>
      </c>
      <c r="H73" s="22" t="s">
        <v>89</v>
      </c>
      <c r="I73" s="22" t="s">
        <v>53</v>
      </c>
      <c r="J73" s="23">
        <v>3</v>
      </c>
      <c r="K73" s="33">
        <f>5300000-K74</f>
        <v>4400000</v>
      </c>
      <c r="L73" s="24">
        <f>2838209.31-L74</f>
        <v>1806209.31</v>
      </c>
      <c r="M73" s="24">
        <f>987509.31-M74</f>
        <v>87509.310000000056</v>
      </c>
      <c r="N73" s="25">
        <f t="shared" si="8"/>
        <v>6118700</v>
      </c>
      <c r="O73" s="25"/>
      <c r="P73" s="25"/>
      <c r="Q73" s="25"/>
      <c r="R73" s="25">
        <f t="shared" si="9"/>
        <v>6118700</v>
      </c>
      <c r="S73" s="34">
        <f>5971565.83-S74</f>
        <v>5844120.8300000001</v>
      </c>
      <c r="T73" s="27">
        <f t="shared" si="10"/>
        <v>0.95512459019072682</v>
      </c>
      <c r="U73" s="28">
        <f>1446277.04-U74</f>
        <v>1414277.04</v>
      </c>
      <c r="V73" s="27">
        <f t="shared" si="11"/>
        <v>0.23114011799892134</v>
      </c>
      <c r="W73" s="24">
        <f>1435797.19-W74</f>
        <v>1403797.19</v>
      </c>
      <c r="X73" s="27">
        <f t="shared" si="12"/>
        <v>0.22942736038701031</v>
      </c>
    </row>
    <row r="74" spans="1:24" ht="72" customHeight="1" x14ac:dyDescent="0.2">
      <c r="A74" s="21" t="s">
        <v>84</v>
      </c>
      <c r="B74" s="22" t="s">
        <v>85</v>
      </c>
      <c r="C74" s="22" t="s">
        <v>115</v>
      </c>
      <c r="D74" s="22" t="s">
        <v>118</v>
      </c>
      <c r="E74" s="32" t="s">
        <v>62</v>
      </c>
      <c r="F74" s="22" t="s">
        <v>119</v>
      </c>
      <c r="G74" s="22" t="s">
        <v>51</v>
      </c>
      <c r="H74" s="22" t="s">
        <v>89</v>
      </c>
      <c r="I74" s="22" t="s">
        <v>53</v>
      </c>
      <c r="J74" s="43">
        <v>4</v>
      </c>
      <c r="K74" s="33">
        <f>900000</f>
        <v>900000</v>
      </c>
      <c r="L74" s="24">
        <v>1032000</v>
      </c>
      <c r="M74" s="24">
        <v>900000</v>
      </c>
      <c r="N74" s="25">
        <f t="shared" si="8"/>
        <v>1032000</v>
      </c>
      <c r="O74" s="25"/>
      <c r="P74" s="25"/>
      <c r="Q74" s="25"/>
      <c r="R74" s="25">
        <f t="shared" si="9"/>
        <v>1032000</v>
      </c>
      <c r="S74" s="34">
        <v>127445</v>
      </c>
      <c r="T74" s="27">
        <f t="shared" si="10"/>
        <v>0.12349321705426357</v>
      </c>
      <c r="U74" s="45">
        <v>32000</v>
      </c>
      <c r="V74" s="27">
        <f t="shared" si="11"/>
        <v>3.1007751937984496E-2</v>
      </c>
      <c r="W74" s="24">
        <f>32000</f>
        <v>32000</v>
      </c>
      <c r="X74" s="27">
        <f t="shared" si="12"/>
        <v>3.1007751937984496E-2</v>
      </c>
    </row>
    <row r="75" spans="1:24" ht="72" hidden="1" customHeight="1" x14ac:dyDescent="0.2">
      <c r="A75" s="21" t="s">
        <v>84</v>
      </c>
      <c r="B75" s="22" t="s">
        <v>85</v>
      </c>
      <c r="C75" s="22" t="s">
        <v>115</v>
      </c>
      <c r="D75" s="22" t="s">
        <v>118</v>
      </c>
      <c r="E75" s="32" t="s">
        <v>62</v>
      </c>
      <c r="F75" s="22" t="s">
        <v>119</v>
      </c>
      <c r="G75" s="22" t="s">
        <v>51</v>
      </c>
      <c r="H75" s="22" t="s">
        <v>91</v>
      </c>
      <c r="I75" s="22" t="s">
        <v>53</v>
      </c>
      <c r="J75" s="43">
        <v>4</v>
      </c>
      <c r="K75" s="33"/>
      <c r="L75" s="24"/>
      <c r="M75" s="24"/>
      <c r="N75" s="25">
        <f t="shared" si="8"/>
        <v>0</v>
      </c>
      <c r="O75" s="25"/>
      <c r="P75" s="25"/>
      <c r="Q75" s="25"/>
      <c r="R75" s="25">
        <f t="shared" si="9"/>
        <v>0</v>
      </c>
      <c r="S75" s="34"/>
      <c r="T75" s="27">
        <f t="shared" si="10"/>
        <v>0</v>
      </c>
      <c r="U75" s="45"/>
      <c r="V75" s="27">
        <f t="shared" si="11"/>
        <v>0</v>
      </c>
      <c r="W75" s="24"/>
      <c r="X75" s="27">
        <f t="shared" si="12"/>
        <v>0</v>
      </c>
    </row>
    <row r="76" spans="1:24" ht="72" customHeight="1" x14ac:dyDescent="0.2">
      <c r="A76" s="21" t="s">
        <v>84</v>
      </c>
      <c r="B76" s="22" t="s">
        <v>85</v>
      </c>
      <c r="C76" s="22" t="s">
        <v>115</v>
      </c>
      <c r="D76" s="22" t="s">
        <v>118</v>
      </c>
      <c r="E76" s="32" t="s">
        <v>62</v>
      </c>
      <c r="F76" s="22" t="s">
        <v>119</v>
      </c>
      <c r="G76" s="22" t="s">
        <v>51</v>
      </c>
      <c r="H76" s="22" t="s">
        <v>91</v>
      </c>
      <c r="I76" s="22" t="s">
        <v>53</v>
      </c>
      <c r="J76" s="23">
        <v>3</v>
      </c>
      <c r="K76" s="33">
        <v>0</v>
      </c>
      <c r="L76" s="24">
        <v>1626560</v>
      </c>
      <c r="M76" s="24">
        <v>0</v>
      </c>
      <c r="N76" s="25">
        <f t="shared" si="8"/>
        <v>1626560</v>
      </c>
      <c r="O76" s="25"/>
      <c r="P76" s="25"/>
      <c r="Q76" s="25"/>
      <c r="R76" s="25">
        <f t="shared" si="9"/>
        <v>1626560</v>
      </c>
      <c r="S76" s="34">
        <f>19091554.34-S77</f>
        <v>709554.33999999985</v>
      </c>
      <c r="T76" s="27">
        <f t="shared" si="10"/>
        <v>0.43623004377336211</v>
      </c>
      <c r="U76" s="28">
        <v>0</v>
      </c>
      <c r="V76" s="27">
        <f t="shared" si="11"/>
        <v>0</v>
      </c>
      <c r="W76" s="24">
        <v>0</v>
      </c>
      <c r="X76" s="27">
        <f t="shared" si="12"/>
        <v>0</v>
      </c>
    </row>
    <row r="77" spans="1:24" ht="72" customHeight="1" x14ac:dyDescent="0.2">
      <c r="A77" s="21" t="s">
        <v>84</v>
      </c>
      <c r="B77" s="22" t="s">
        <v>85</v>
      </c>
      <c r="C77" s="22" t="s">
        <v>115</v>
      </c>
      <c r="D77" s="22" t="s">
        <v>118</v>
      </c>
      <c r="E77" s="32" t="s">
        <v>62</v>
      </c>
      <c r="F77" s="22" t="s">
        <v>119</v>
      </c>
      <c r="G77" s="22" t="s">
        <v>51</v>
      </c>
      <c r="H77" s="22" t="s">
        <v>91</v>
      </c>
      <c r="I77" s="22" t="s">
        <v>53</v>
      </c>
      <c r="J77" s="43">
        <v>4</v>
      </c>
      <c r="K77" s="33">
        <v>0</v>
      </c>
      <c r="L77" s="24">
        <v>21346290</v>
      </c>
      <c r="M77" s="24">
        <v>0</v>
      </c>
      <c r="N77" s="25">
        <f t="shared" si="8"/>
        <v>21346290</v>
      </c>
      <c r="O77" s="25"/>
      <c r="P77" s="25"/>
      <c r="Q77" s="25"/>
      <c r="R77" s="25">
        <f t="shared" si="9"/>
        <v>21346290</v>
      </c>
      <c r="S77" s="34">
        <f>14324000+4058000</f>
        <v>18382000</v>
      </c>
      <c r="T77" s="27">
        <f t="shared" si="10"/>
        <v>0.86113324610506092</v>
      </c>
      <c r="U77" s="45">
        <f>0</f>
        <v>0</v>
      </c>
      <c r="V77" s="27">
        <f t="shared" si="11"/>
        <v>0</v>
      </c>
      <c r="W77" s="24">
        <v>0</v>
      </c>
      <c r="X77" s="27">
        <f t="shared" si="12"/>
        <v>0</v>
      </c>
    </row>
    <row r="78" spans="1:24" ht="63" customHeight="1" x14ac:dyDescent="0.2">
      <c r="A78" s="21" t="s">
        <v>84</v>
      </c>
      <c r="B78" s="22" t="s">
        <v>85</v>
      </c>
      <c r="C78" s="22" t="s">
        <v>73</v>
      </c>
      <c r="D78" s="22" t="s">
        <v>74</v>
      </c>
      <c r="E78" s="32" t="s">
        <v>62</v>
      </c>
      <c r="F78" s="22" t="s">
        <v>120</v>
      </c>
      <c r="G78" s="22" t="s">
        <v>51</v>
      </c>
      <c r="H78" s="22" t="s">
        <v>89</v>
      </c>
      <c r="I78" s="22" t="s">
        <v>53</v>
      </c>
      <c r="J78" s="23">
        <v>3</v>
      </c>
      <c r="K78" s="33">
        <v>0</v>
      </c>
      <c r="L78" s="24">
        <v>1350000</v>
      </c>
      <c r="M78" s="24">
        <v>0</v>
      </c>
      <c r="N78" s="25">
        <f t="shared" si="8"/>
        <v>1350000</v>
      </c>
      <c r="O78" s="25"/>
      <c r="P78" s="25"/>
      <c r="Q78" s="25"/>
      <c r="R78" s="25">
        <f t="shared" si="9"/>
        <v>1350000</v>
      </c>
      <c r="S78" s="34">
        <v>1350000</v>
      </c>
      <c r="T78" s="27">
        <f t="shared" si="10"/>
        <v>1</v>
      </c>
      <c r="U78" s="28">
        <v>1350000</v>
      </c>
      <c r="V78" s="27">
        <f t="shared" si="11"/>
        <v>1</v>
      </c>
      <c r="W78" s="24">
        <v>1350000</v>
      </c>
      <c r="X78" s="27">
        <f t="shared" si="12"/>
        <v>1</v>
      </c>
    </row>
    <row r="79" spans="1:24" ht="63" customHeight="1" x14ac:dyDescent="0.2">
      <c r="A79" s="21" t="s">
        <v>84</v>
      </c>
      <c r="B79" s="22" t="s">
        <v>85</v>
      </c>
      <c r="C79" s="22" t="s">
        <v>73</v>
      </c>
      <c r="D79" s="22" t="s">
        <v>74</v>
      </c>
      <c r="E79" s="32" t="s">
        <v>62</v>
      </c>
      <c r="F79" s="22" t="s">
        <v>120</v>
      </c>
      <c r="G79" s="22" t="s">
        <v>51</v>
      </c>
      <c r="H79" s="22" t="s">
        <v>109</v>
      </c>
      <c r="I79" s="22" t="s">
        <v>53</v>
      </c>
      <c r="J79" s="23">
        <v>3</v>
      </c>
      <c r="K79" s="33">
        <v>300000</v>
      </c>
      <c r="L79" s="24">
        <v>100052</v>
      </c>
      <c r="M79" s="24">
        <v>100052</v>
      </c>
      <c r="N79" s="25">
        <f t="shared" si="8"/>
        <v>300000</v>
      </c>
      <c r="O79" s="25"/>
      <c r="P79" s="25"/>
      <c r="Q79" s="25"/>
      <c r="R79" s="25">
        <f t="shared" si="9"/>
        <v>300000</v>
      </c>
      <c r="S79" s="34">
        <v>266550.5</v>
      </c>
      <c r="T79" s="27">
        <f t="shared" si="10"/>
        <v>0.88850166666666663</v>
      </c>
      <c r="U79" s="28">
        <v>134398.39999999999</v>
      </c>
      <c r="V79" s="27">
        <f t="shared" si="11"/>
        <v>0.44799466666666665</v>
      </c>
      <c r="W79" s="24">
        <v>134398.39999999999</v>
      </c>
      <c r="X79" s="27">
        <f t="shared" si="12"/>
        <v>0.44799466666666665</v>
      </c>
    </row>
    <row r="80" spans="1:24" ht="63" customHeight="1" x14ac:dyDescent="0.2">
      <c r="A80" s="21" t="s">
        <v>84</v>
      </c>
      <c r="B80" s="22" t="s">
        <v>85</v>
      </c>
      <c r="C80" s="22" t="s">
        <v>73</v>
      </c>
      <c r="D80" s="22" t="s">
        <v>74</v>
      </c>
      <c r="E80" s="32" t="s">
        <v>62</v>
      </c>
      <c r="F80" s="22" t="s">
        <v>120</v>
      </c>
      <c r="G80" s="22" t="s">
        <v>51</v>
      </c>
      <c r="H80" s="22" t="s">
        <v>112</v>
      </c>
      <c r="I80" s="22" t="s">
        <v>53</v>
      </c>
      <c r="J80" s="23">
        <v>3</v>
      </c>
      <c r="K80" s="33">
        <v>0</v>
      </c>
      <c r="L80" s="24">
        <v>1049532.8999999999</v>
      </c>
      <c r="M80" s="24">
        <v>0</v>
      </c>
      <c r="N80" s="25">
        <f t="shared" si="8"/>
        <v>1049532.8999999999</v>
      </c>
      <c r="O80" s="25"/>
      <c r="P80" s="25"/>
      <c r="Q80" s="25"/>
      <c r="R80" s="25">
        <f t="shared" si="9"/>
        <v>1049532.8999999999</v>
      </c>
      <c r="S80" s="34">
        <v>310037.90000000002</v>
      </c>
      <c r="T80" s="27">
        <f t="shared" si="10"/>
        <v>0.29540560376906722</v>
      </c>
      <c r="U80" s="28">
        <v>105140</v>
      </c>
      <c r="V80" s="27">
        <f t="shared" si="11"/>
        <v>0.10017789818689819</v>
      </c>
      <c r="W80" s="24">
        <v>105140</v>
      </c>
      <c r="X80" s="27">
        <f t="shared" si="12"/>
        <v>0.10017789818689819</v>
      </c>
    </row>
    <row r="81" spans="1:24" ht="14.25" customHeight="1" x14ac:dyDescent="0.2">
      <c r="A81" s="119" t="s">
        <v>121</v>
      </c>
      <c r="B81" s="115"/>
      <c r="C81" s="115"/>
      <c r="D81" s="115"/>
      <c r="E81" s="115"/>
      <c r="F81" s="115"/>
      <c r="G81" s="115"/>
      <c r="H81" s="115"/>
      <c r="I81" s="115"/>
      <c r="J81" s="113"/>
      <c r="K81" s="38">
        <f t="shared" ref="K81:S81" si="13">SUM(K33:K80)</f>
        <v>83793000</v>
      </c>
      <c r="L81" s="38">
        <f t="shared" si="13"/>
        <v>86645945.450000018</v>
      </c>
      <c r="M81" s="38">
        <f t="shared" si="13"/>
        <v>19466734.529999997</v>
      </c>
      <c r="N81" s="38">
        <f t="shared" si="13"/>
        <v>150972210.92000005</v>
      </c>
      <c r="O81" s="38">
        <f t="shared" si="13"/>
        <v>0</v>
      </c>
      <c r="P81" s="38">
        <f t="shared" si="13"/>
        <v>0</v>
      </c>
      <c r="Q81" s="38">
        <f t="shared" si="13"/>
        <v>0</v>
      </c>
      <c r="R81" s="38">
        <f t="shared" si="13"/>
        <v>150972210.92000005</v>
      </c>
      <c r="S81" s="38">
        <f t="shared" si="13"/>
        <v>129034126.90000001</v>
      </c>
      <c r="T81" s="39">
        <f t="shared" si="10"/>
        <v>0.85468793305527602</v>
      </c>
      <c r="U81" s="38">
        <f>SUM(U33:U80)</f>
        <v>48498506.690000005</v>
      </c>
      <c r="V81" s="39">
        <f t="shared" si="11"/>
        <v>0.32124128271327557</v>
      </c>
      <c r="W81" s="38">
        <f>SUM(W33:W80)</f>
        <v>47449672.829999998</v>
      </c>
      <c r="X81" s="39">
        <f t="shared" si="12"/>
        <v>0.31429408459245201</v>
      </c>
    </row>
    <row r="82" spans="1:24" ht="14.25" customHeight="1" x14ac:dyDescent="0.2">
      <c r="A82" s="120" t="s">
        <v>122</v>
      </c>
      <c r="B82" s="115"/>
      <c r="C82" s="115"/>
      <c r="D82" s="115"/>
      <c r="E82" s="115"/>
      <c r="F82" s="115"/>
      <c r="G82" s="115"/>
      <c r="H82" s="115"/>
      <c r="I82" s="115"/>
      <c r="J82" s="113"/>
      <c r="K82" s="55">
        <f t="shared" ref="K82:S82" si="14">SUM(K30+K81)</f>
        <v>953062000</v>
      </c>
      <c r="L82" s="55">
        <f t="shared" si="14"/>
        <v>111450373.62000002</v>
      </c>
      <c r="M82" s="55">
        <f t="shared" si="14"/>
        <v>44271162.700000003</v>
      </c>
      <c r="N82" s="55">
        <f t="shared" si="14"/>
        <v>1020241210.9200001</v>
      </c>
      <c r="O82" s="55">
        <f t="shared" si="14"/>
        <v>0</v>
      </c>
      <c r="P82" s="55">
        <f t="shared" si="14"/>
        <v>0</v>
      </c>
      <c r="Q82" s="55">
        <f t="shared" si="14"/>
        <v>-22571350</v>
      </c>
      <c r="R82" s="55">
        <f t="shared" si="14"/>
        <v>997669860.92000008</v>
      </c>
      <c r="S82" s="55">
        <f t="shared" si="14"/>
        <v>576235116.62000012</v>
      </c>
      <c r="T82" s="56">
        <f t="shared" si="10"/>
        <v>0.57758096058813047</v>
      </c>
      <c r="U82" s="55">
        <f>SUM(U30+U81)</f>
        <v>495487807.25000006</v>
      </c>
      <c r="V82" s="56">
        <f t="shared" si="11"/>
        <v>0.49664505931159086</v>
      </c>
      <c r="W82" s="55">
        <f>SUM(W30+W81)</f>
        <v>492791618.03000009</v>
      </c>
      <c r="X82" s="56">
        <f t="shared" si="12"/>
        <v>0.49394257292244237</v>
      </c>
    </row>
    <row r="83" spans="1:24" ht="14.25" customHeight="1" x14ac:dyDescent="0.2">
      <c r="A83" s="57" t="s">
        <v>123</v>
      </c>
      <c r="B83" s="58"/>
      <c r="C83" s="58"/>
      <c r="D83" s="58"/>
      <c r="E83" s="58"/>
      <c r="F83" s="58"/>
      <c r="G83" s="58"/>
      <c r="H83" s="59"/>
      <c r="I83" s="59"/>
      <c r="J83" s="59"/>
      <c r="K83" s="58"/>
      <c r="L83" s="58"/>
      <c r="M83" s="60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</row>
    <row r="84" spans="1:24" ht="14.25" customHeight="1" x14ac:dyDescent="0.2">
      <c r="A84" s="57" t="s">
        <v>124</v>
      </c>
      <c r="B84" s="62"/>
      <c r="C84" s="58"/>
      <c r="D84" s="58"/>
      <c r="E84" s="58"/>
      <c r="F84" s="58"/>
      <c r="G84" s="58"/>
      <c r="H84" s="59"/>
      <c r="I84" s="59"/>
      <c r="J84" s="59"/>
      <c r="K84" s="58"/>
      <c r="L84" s="58"/>
      <c r="M84" s="60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</row>
    <row r="85" spans="1:24" ht="14.25" customHeight="1" x14ac:dyDescent="0.2">
      <c r="A85" s="121" t="s">
        <v>125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3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</row>
    <row r="86" spans="1:24" ht="14.25" customHeight="1" x14ac:dyDescent="0.2"/>
    <row r="87" spans="1:24" ht="14.25" customHeight="1" x14ac:dyDescent="0.2"/>
    <row r="88" spans="1:24" ht="14.25" customHeight="1" x14ac:dyDescent="0.2"/>
    <row r="89" spans="1:24" ht="14.25" customHeight="1" x14ac:dyDescent="0.2"/>
    <row r="90" spans="1:24" ht="14.25" customHeight="1" x14ac:dyDescent="0.2"/>
    <row r="91" spans="1:24" ht="14.25" customHeight="1" x14ac:dyDescent="0.2"/>
    <row r="92" spans="1:24" ht="15.75" customHeight="1" x14ac:dyDescent="0.2">
      <c r="Q92" s="69" t="s">
        <v>31</v>
      </c>
      <c r="R92" s="69"/>
      <c r="S92" s="70"/>
      <c r="T92" s="69" t="s">
        <v>32</v>
      </c>
      <c r="U92" s="69"/>
      <c r="V92" s="64"/>
      <c r="W92" s="71" t="s">
        <v>126</v>
      </c>
    </row>
    <row r="93" spans="1:24" ht="14.25" customHeight="1" x14ac:dyDescent="0.2">
      <c r="Q93" s="73">
        <v>1</v>
      </c>
      <c r="R93" s="74">
        <v>324120221.02999997</v>
      </c>
      <c r="S93" s="64"/>
      <c r="T93" s="75">
        <v>1</v>
      </c>
      <c r="U93" s="74">
        <f>U17+U18+U20+U21+U24+U25+U28</f>
        <v>378808093.16000003</v>
      </c>
      <c r="V93" s="64"/>
      <c r="W93" s="76">
        <f t="shared" ref="W93:W95" si="15">U93-R93</f>
        <v>54687872.130000055</v>
      </c>
    </row>
    <row r="94" spans="1:24" ht="14.25" customHeight="1" x14ac:dyDescent="0.2">
      <c r="Q94" s="79">
        <v>3</v>
      </c>
      <c r="R94" s="80">
        <v>91847457.489999995</v>
      </c>
      <c r="S94" s="81"/>
      <c r="T94" s="82">
        <v>3</v>
      </c>
      <c r="U94" s="80">
        <f>U15+U16+U19+U22+U23+U26+U34+U36+U38+U44+U46+U48+U49+U54+U57+U58+U59+U60+U62+U65+U66+U67+U68+U71+U73+U76+U78+U79+U80</f>
        <v>112184872.95000002</v>
      </c>
      <c r="V94" s="83"/>
      <c r="W94" s="84">
        <f t="shared" si="15"/>
        <v>20337415.460000023</v>
      </c>
    </row>
    <row r="95" spans="1:24" ht="14.25" customHeight="1" x14ac:dyDescent="0.2">
      <c r="Q95" s="85">
        <v>4</v>
      </c>
      <c r="R95" s="86">
        <v>4119611.64</v>
      </c>
      <c r="S95" s="81"/>
      <c r="T95" s="87">
        <v>4</v>
      </c>
      <c r="U95" s="86">
        <f>U33+U35+U37+U39+U40+U41+U42+U43+U45+U47+U50+U51+U52+U53+U55+U56+U61+U63+U69+U72+U74+U77</f>
        <v>4494841.1400000006</v>
      </c>
      <c r="V95" s="88"/>
      <c r="W95" s="89">
        <f t="shared" si="15"/>
        <v>375229.50000000047</v>
      </c>
    </row>
    <row r="96" spans="1:24" ht="14.25" customHeight="1" x14ac:dyDescent="0.2">
      <c r="Q96" s="122" t="s">
        <v>128</v>
      </c>
      <c r="R96" s="113"/>
      <c r="S96" s="61"/>
      <c r="T96" s="112" t="s">
        <v>129</v>
      </c>
      <c r="U96" s="113"/>
      <c r="V96" s="88"/>
      <c r="W96" s="83"/>
    </row>
    <row r="97" spans="17:23" ht="14.25" customHeight="1" x14ac:dyDescent="0.2">
      <c r="Q97" s="72"/>
      <c r="R97" s="72"/>
      <c r="S97" s="72"/>
      <c r="T97" s="12"/>
      <c r="U97" s="83"/>
      <c r="V97" s="88"/>
      <c r="W97" s="5"/>
    </row>
    <row r="98" spans="17:23" ht="14.25" customHeight="1" x14ac:dyDescent="0.2">
      <c r="Q98" s="78"/>
      <c r="R98" s="78"/>
      <c r="S98" s="78"/>
      <c r="T98" s="91" t="s">
        <v>133</v>
      </c>
      <c r="U98" s="92">
        <f>SUM(U93:U95)</f>
        <v>495487807.25</v>
      </c>
      <c r="V98" s="5"/>
      <c r="W98" s="66">
        <f>SUM(W93:W97)</f>
        <v>75400517.090000078</v>
      </c>
    </row>
    <row r="99" spans="17:23" ht="14.25" customHeight="1" x14ac:dyDescent="0.2">
      <c r="Q99" s="5"/>
      <c r="R99" s="96"/>
      <c r="S99" s="5"/>
      <c r="T99" s="5"/>
      <c r="U99" s="5"/>
      <c r="V99" s="5"/>
      <c r="W99" s="5"/>
    </row>
    <row r="100" spans="17:23" ht="14.25" customHeight="1" x14ac:dyDescent="0.2">
      <c r="Q100" s="5"/>
      <c r="R100" s="96"/>
      <c r="S100" s="5"/>
      <c r="T100" s="5"/>
      <c r="U100" s="5"/>
      <c r="V100" s="5"/>
      <c r="W100" s="5"/>
    </row>
    <row r="101" spans="17:23" ht="14.25" customHeight="1" x14ac:dyDescent="0.2">
      <c r="Q101" s="5"/>
      <c r="R101" s="96"/>
      <c r="S101" s="5"/>
      <c r="T101" s="99" t="s">
        <v>136</v>
      </c>
      <c r="U101" s="100">
        <f>U15+U16+U19+U22+U23+U26</f>
        <v>68181207.399999991</v>
      </c>
      <c r="V101" s="5"/>
      <c r="W101" s="66"/>
    </row>
    <row r="102" spans="17:23" ht="14.25" customHeight="1" x14ac:dyDescent="0.2">
      <c r="Q102" s="5"/>
      <c r="R102" s="5"/>
      <c r="S102" s="5"/>
      <c r="T102" s="99" t="s">
        <v>137</v>
      </c>
      <c r="U102" s="100" t="e">
        <f>#REF!+U43+U49+U50+#REF!+U57+U59+U60+U61+U64</f>
        <v>#REF!</v>
      </c>
      <c r="V102" s="66"/>
      <c r="W102" s="66"/>
    </row>
    <row r="103" spans="17:23" ht="14.25" customHeight="1" x14ac:dyDescent="0.2">
      <c r="Q103" s="5"/>
      <c r="R103" s="5"/>
      <c r="S103" s="5"/>
      <c r="T103" s="99" t="s">
        <v>133</v>
      </c>
      <c r="U103" s="100" t="e">
        <f>U101+U102</f>
        <v>#REF!</v>
      </c>
      <c r="V103" s="66"/>
      <c r="W103" s="66"/>
    </row>
    <row r="104" spans="17:23" ht="14.25" customHeight="1" x14ac:dyDescent="0.2">
      <c r="Q104" s="5"/>
      <c r="R104" s="5"/>
      <c r="S104" s="5"/>
      <c r="T104" s="5"/>
      <c r="U104" s="5"/>
      <c r="V104" s="5"/>
      <c r="W104" s="5"/>
    </row>
    <row r="105" spans="17:23" ht="14.25" customHeight="1" x14ac:dyDescent="0.2"/>
    <row r="106" spans="17:23" ht="14.25" customHeight="1" x14ac:dyDescent="0.2"/>
    <row r="107" spans="17:23" ht="14.25" customHeight="1" x14ac:dyDescent="0.2"/>
    <row r="108" spans="17:23" ht="14.25" customHeight="1" x14ac:dyDescent="0.2"/>
    <row r="109" spans="17:23" ht="14.25" customHeight="1" x14ac:dyDescent="0.2"/>
    <row r="110" spans="17:23" ht="14.25" customHeight="1" x14ac:dyDescent="0.2"/>
    <row r="111" spans="17:23" ht="14.25" customHeight="1" x14ac:dyDescent="0.2"/>
    <row r="112" spans="17:23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8">
    <mergeCell ref="A1:C1"/>
    <mergeCell ref="A2:C2"/>
    <mergeCell ref="A3:E3"/>
    <mergeCell ref="A4:E4"/>
    <mergeCell ref="A6:E6"/>
    <mergeCell ref="A7:E7"/>
    <mergeCell ref="A10:X10"/>
    <mergeCell ref="K12:K13"/>
    <mergeCell ref="L12:M12"/>
    <mergeCell ref="N12:N13"/>
    <mergeCell ref="O12:O13"/>
    <mergeCell ref="P12:Q12"/>
    <mergeCell ref="R12:R13"/>
    <mergeCell ref="S12:X12"/>
    <mergeCell ref="J13:J14"/>
    <mergeCell ref="T96:U96"/>
    <mergeCell ref="A12:J12"/>
    <mergeCell ref="A13:B13"/>
    <mergeCell ref="C13:C14"/>
    <mergeCell ref="D13:D14"/>
    <mergeCell ref="E13:F13"/>
    <mergeCell ref="G13:G14"/>
    <mergeCell ref="H13:I13"/>
    <mergeCell ref="A30:J30"/>
    <mergeCell ref="A81:J81"/>
    <mergeCell ref="A82:J82"/>
    <mergeCell ref="A85:M85"/>
    <mergeCell ref="Q96:R96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AA1010"/>
  <sheetViews>
    <sheetView workbookViewId="0"/>
  </sheetViews>
  <sheetFormatPr defaultColWidth="12.625" defaultRowHeight="15" customHeight="1" x14ac:dyDescent="0.2"/>
  <cols>
    <col min="1" max="1" width="9.125" customWidth="1"/>
    <col min="2" max="2" width="11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8" width="13" customWidth="1"/>
    <col min="9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2.75" customWidth="1"/>
    <col min="26" max="27" width="9.125" customWidth="1"/>
  </cols>
  <sheetData>
    <row r="1" spans="1:27" ht="14.25" customHeight="1" x14ac:dyDescent="0.2">
      <c r="A1" s="123" t="s">
        <v>0</v>
      </c>
      <c r="B1" s="115"/>
      <c r="C1" s="115"/>
      <c r="D1" s="115"/>
      <c r="E1" s="115"/>
      <c r="F1" s="113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 x14ac:dyDescent="0.2">
      <c r="A2" s="127" t="s">
        <v>1</v>
      </c>
      <c r="B2" s="128"/>
      <c r="C2" s="128"/>
      <c r="D2" s="128"/>
      <c r="E2" s="128"/>
      <c r="F2" s="129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 x14ac:dyDescent="0.2">
      <c r="A3" s="127" t="s">
        <v>2</v>
      </c>
      <c r="B3" s="128"/>
      <c r="C3" s="128"/>
      <c r="D3" s="128"/>
      <c r="E3" s="128"/>
      <c r="F3" s="129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 x14ac:dyDescent="0.2">
      <c r="A4" s="123" t="s">
        <v>142</v>
      </c>
      <c r="B4" s="115"/>
      <c r="C4" s="115"/>
      <c r="D4" s="115"/>
      <c r="E4" s="115"/>
      <c r="F4" s="113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 x14ac:dyDescent="0.2">
      <c r="A5" s="8" t="s">
        <v>3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 x14ac:dyDescent="0.2">
      <c r="A6" s="123" t="s">
        <v>168</v>
      </c>
      <c r="B6" s="115"/>
      <c r="C6" s="115"/>
      <c r="D6" s="115"/>
      <c r="E6" s="115"/>
      <c r="F6" s="113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 x14ac:dyDescent="0.2">
      <c r="A7" s="123" t="s">
        <v>169</v>
      </c>
      <c r="B7" s="115"/>
      <c r="C7" s="115"/>
      <c r="D7" s="115"/>
      <c r="E7" s="115"/>
      <c r="F7" s="113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 x14ac:dyDescent="0.2">
      <c r="A8" s="140"/>
      <c r="B8" s="125"/>
      <c r="C8" s="125"/>
      <c r="D8" s="125"/>
      <c r="E8" s="125"/>
      <c r="F8" s="125"/>
      <c r="G8" s="1"/>
      <c r="H8" s="2"/>
      <c r="I8" s="2"/>
      <c r="J8" s="104"/>
      <c r="K8" s="1"/>
      <c r="L8" s="1"/>
      <c r="M8" s="1"/>
      <c r="N8" s="1"/>
      <c r="O8" s="1"/>
      <c r="P8" s="1"/>
      <c r="Q8" s="1"/>
      <c r="R8" s="1"/>
      <c r="S8" s="1"/>
      <c r="T8" s="1"/>
      <c r="U8" s="105"/>
      <c r="V8" s="5"/>
      <c r="W8" s="5"/>
      <c r="X8" s="5"/>
      <c r="Y8" s="5"/>
      <c r="Z8" s="5"/>
      <c r="AA8" s="5"/>
    </row>
    <row r="9" spans="1:27" ht="14.25" customHeight="1" x14ac:dyDescent="0.2">
      <c r="A9" s="124" t="s">
        <v>4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5"/>
      <c r="Z9" s="5"/>
      <c r="AA9" s="5"/>
    </row>
    <row r="10" spans="1:27" ht="14.25" customHeight="1" x14ac:dyDescent="0.2">
      <c r="A10" s="1"/>
      <c r="B10" s="1"/>
      <c r="C10" s="1"/>
      <c r="D10" s="1"/>
      <c r="E10" s="1"/>
      <c r="F10" s="1"/>
      <c r="G10" s="1"/>
      <c r="H10" s="2"/>
      <c r="I10" s="2"/>
      <c r="J10" s="101"/>
      <c r="K10" s="1"/>
      <c r="L10" s="1"/>
      <c r="M10" s="1"/>
      <c r="N10" s="1"/>
      <c r="O10" s="1"/>
      <c r="P10" s="1"/>
      <c r="Q10" s="1"/>
      <c r="R10" s="1"/>
      <c r="S10" s="1"/>
      <c r="T10" s="1"/>
      <c r="U10" s="102"/>
      <c r="V10" s="1"/>
      <c r="W10" s="12"/>
      <c r="X10" s="1"/>
      <c r="Y10" s="5"/>
      <c r="Z10" s="5"/>
      <c r="AA10" s="5"/>
    </row>
    <row r="11" spans="1:27" ht="14.25" customHeight="1" x14ac:dyDescent="0.2">
      <c r="A11" s="114" t="s">
        <v>5</v>
      </c>
      <c r="B11" s="115"/>
      <c r="C11" s="115"/>
      <c r="D11" s="115"/>
      <c r="E11" s="115"/>
      <c r="F11" s="115"/>
      <c r="G11" s="115"/>
      <c r="H11" s="115"/>
      <c r="I11" s="115"/>
      <c r="J11" s="113"/>
      <c r="K11" s="116" t="s">
        <v>6</v>
      </c>
      <c r="L11" s="114" t="s">
        <v>7</v>
      </c>
      <c r="M11" s="113"/>
      <c r="N11" s="116" t="s">
        <v>8</v>
      </c>
      <c r="O11" s="116" t="s">
        <v>9</v>
      </c>
      <c r="P11" s="114" t="s">
        <v>10</v>
      </c>
      <c r="Q11" s="113"/>
      <c r="R11" s="116" t="s">
        <v>11</v>
      </c>
      <c r="S11" s="114" t="s">
        <v>12</v>
      </c>
      <c r="T11" s="115"/>
      <c r="U11" s="115"/>
      <c r="V11" s="115"/>
      <c r="W11" s="115"/>
      <c r="X11" s="113"/>
      <c r="Y11" s="5"/>
      <c r="Z11" s="5"/>
      <c r="AA11" s="5"/>
    </row>
    <row r="12" spans="1:27" ht="14.25" customHeight="1" x14ac:dyDescent="0.2">
      <c r="A12" s="114" t="s">
        <v>13</v>
      </c>
      <c r="B12" s="113"/>
      <c r="C12" s="116" t="s">
        <v>14</v>
      </c>
      <c r="D12" s="116" t="s">
        <v>15</v>
      </c>
      <c r="E12" s="114" t="s">
        <v>16</v>
      </c>
      <c r="F12" s="113"/>
      <c r="G12" s="116" t="s">
        <v>17</v>
      </c>
      <c r="H12" s="114" t="s">
        <v>18</v>
      </c>
      <c r="I12" s="113"/>
      <c r="J12" s="126" t="s">
        <v>19</v>
      </c>
      <c r="K12" s="117"/>
      <c r="L12" s="13" t="s">
        <v>20</v>
      </c>
      <c r="M12" s="13" t="s">
        <v>21</v>
      </c>
      <c r="N12" s="117"/>
      <c r="O12" s="117"/>
      <c r="P12" s="14" t="s">
        <v>22</v>
      </c>
      <c r="Q12" s="14" t="s">
        <v>23</v>
      </c>
      <c r="R12" s="117"/>
      <c r="S12" s="15" t="s">
        <v>24</v>
      </c>
      <c r="T12" s="16" t="s">
        <v>25</v>
      </c>
      <c r="U12" s="15" t="s">
        <v>26</v>
      </c>
      <c r="V12" s="17" t="s">
        <v>25</v>
      </c>
      <c r="W12" s="18" t="s">
        <v>27</v>
      </c>
      <c r="X12" s="17" t="s">
        <v>25</v>
      </c>
      <c r="Y12" s="5"/>
      <c r="Z12" s="5"/>
      <c r="AA12" s="5"/>
    </row>
    <row r="13" spans="1:27" ht="31.5" customHeight="1" x14ac:dyDescent="0.2">
      <c r="A13" s="15" t="s">
        <v>28</v>
      </c>
      <c r="B13" s="15" t="s">
        <v>16</v>
      </c>
      <c r="C13" s="117"/>
      <c r="D13" s="117"/>
      <c r="E13" s="14" t="s">
        <v>29</v>
      </c>
      <c r="F13" s="14" t="s">
        <v>30</v>
      </c>
      <c r="G13" s="117"/>
      <c r="H13" s="14" t="s">
        <v>28</v>
      </c>
      <c r="I13" s="14" t="s">
        <v>16</v>
      </c>
      <c r="J13" s="117"/>
      <c r="K13" s="15" t="s">
        <v>31</v>
      </c>
      <c r="L13" s="14" t="s">
        <v>32</v>
      </c>
      <c r="M13" s="14" t="s">
        <v>33</v>
      </c>
      <c r="N13" s="14" t="s">
        <v>34</v>
      </c>
      <c r="O13" s="14" t="s">
        <v>35</v>
      </c>
      <c r="P13" s="14" t="s">
        <v>36</v>
      </c>
      <c r="Q13" s="14" t="s">
        <v>37</v>
      </c>
      <c r="R13" s="15" t="s">
        <v>38</v>
      </c>
      <c r="S13" s="19" t="s">
        <v>39</v>
      </c>
      <c r="T13" s="20" t="s">
        <v>40</v>
      </c>
      <c r="U13" s="19" t="s">
        <v>41</v>
      </c>
      <c r="V13" s="20" t="s">
        <v>42</v>
      </c>
      <c r="W13" s="18" t="s">
        <v>43</v>
      </c>
      <c r="X13" s="20" t="s">
        <v>44</v>
      </c>
      <c r="Y13" s="5"/>
      <c r="Z13" s="5"/>
      <c r="AA13" s="5"/>
    </row>
    <row r="14" spans="1:27" ht="63" customHeight="1" x14ac:dyDescent="0.2">
      <c r="A14" s="21" t="s">
        <v>45</v>
      </c>
      <c r="B14" s="32" t="s">
        <v>46</v>
      </c>
      <c r="C14" s="32" t="s">
        <v>47</v>
      </c>
      <c r="D14" s="32" t="s">
        <v>48</v>
      </c>
      <c r="E14" s="32" t="s">
        <v>87</v>
      </c>
      <c r="F14" s="32" t="s">
        <v>50</v>
      </c>
      <c r="G14" s="32" t="s">
        <v>51</v>
      </c>
      <c r="H14" s="32" t="s">
        <v>143</v>
      </c>
      <c r="I14" s="32" t="s">
        <v>151</v>
      </c>
      <c r="J14" s="107">
        <v>3</v>
      </c>
      <c r="K14" s="34">
        <v>2000000</v>
      </c>
      <c r="L14" s="24">
        <v>631198.02</v>
      </c>
      <c r="M14" s="24">
        <v>631198.02</v>
      </c>
      <c r="N14" s="25">
        <f t="shared" ref="N14:N29" si="0">K14+L14-M14</f>
        <v>2000000</v>
      </c>
      <c r="O14" s="26"/>
      <c r="P14" s="26"/>
      <c r="Q14" s="26"/>
      <c r="R14" s="25">
        <f t="shared" ref="R14:R29" si="1">N14-O14+P14+Q14</f>
        <v>2000000</v>
      </c>
      <c r="S14" s="24">
        <v>0</v>
      </c>
      <c r="T14" s="27">
        <f t="shared" ref="T14:T30" si="2">IF(R14&gt;0,S14/R14,0)</f>
        <v>0</v>
      </c>
      <c r="U14" s="54">
        <v>0</v>
      </c>
      <c r="V14" s="27">
        <f t="shared" ref="V14:V30" si="3">IF(R14&gt;0,U14/R14,0)</f>
        <v>0</v>
      </c>
      <c r="W14" s="24">
        <v>0</v>
      </c>
      <c r="X14" s="27">
        <f t="shared" ref="X14:X30" si="4">IF(R14&gt;0,W14/R14,0)</f>
        <v>0</v>
      </c>
      <c r="Y14" s="5"/>
      <c r="Z14" s="5"/>
      <c r="AA14" s="5"/>
    </row>
    <row r="15" spans="1:27" ht="63" customHeight="1" x14ac:dyDescent="0.2">
      <c r="A15" s="21" t="s">
        <v>45</v>
      </c>
      <c r="B15" s="32" t="s">
        <v>46</v>
      </c>
      <c r="C15" s="32" t="s">
        <v>47</v>
      </c>
      <c r="D15" s="32" t="s">
        <v>54</v>
      </c>
      <c r="E15" s="32" t="s">
        <v>87</v>
      </c>
      <c r="F15" s="32" t="s">
        <v>55</v>
      </c>
      <c r="G15" s="32" t="s">
        <v>51</v>
      </c>
      <c r="H15" s="32" t="s">
        <v>143</v>
      </c>
      <c r="I15" s="32" t="s">
        <v>151</v>
      </c>
      <c r="J15" s="107">
        <v>3</v>
      </c>
      <c r="K15" s="34">
        <v>76324000</v>
      </c>
      <c r="L15" s="24">
        <v>0</v>
      </c>
      <c r="M15" s="24">
        <v>0</v>
      </c>
      <c r="N15" s="25">
        <f t="shared" si="0"/>
        <v>76324000</v>
      </c>
      <c r="O15" s="108" t="s">
        <v>170</v>
      </c>
      <c r="P15" s="26"/>
      <c r="Q15" s="26"/>
      <c r="R15" s="25" t="e">
        <f t="shared" si="1"/>
        <v>#VALUE!</v>
      </c>
      <c r="S15" s="24">
        <v>44967846.579999998</v>
      </c>
      <c r="T15" s="27" t="e">
        <f t="shared" si="2"/>
        <v>#VALUE!</v>
      </c>
      <c r="U15" s="54">
        <v>44967846.579999998</v>
      </c>
      <c r="V15" s="27" t="e">
        <f t="shared" si="3"/>
        <v>#VALUE!</v>
      </c>
      <c r="W15" s="24">
        <v>44967846.579999998</v>
      </c>
      <c r="X15" s="27" t="e">
        <f t="shared" si="4"/>
        <v>#VALUE!</v>
      </c>
      <c r="Y15" s="29"/>
      <c r="Z15" s="5"/>
      <c r="AA15" s="5"/>
    </row>
    <row r="16" spans="1:27" ht="63" customHeight="1" x14ac:dyDescent="0.2">
      <c r="A16" s="21" t="s">
        <v>45</v>
      </c>
      <c r="B16" s="32" t="s">
        <v>46</v>
      </c>
      <c r="C16" s="32" t="s">
        <v>47</v>
      </c>
      <c r="D16" s="32" t="s">
        <v>56</v>
      </c>
      <c r="E16" s="32" t="s">
        <v>87</v>
      </c>
      <c r="F16" s="32" t="s">
        <v>57</v>
      </c>
      <c r="G16" s="32" t="s">
        <v>51</v>
      </c>
      <c r="H16" s="32" t="s">
        <v>143</v>
      </c>
      <c r="I16" s="32" t="s">
        <v>151</v>
      </c>
      <c r="J16" s="30">
        <v>1</v>
      </c>
      <c r="K16" s="34">
        <v>461873000</v>
      </c>
      <c r="L16" s="24">
        <v>8791064.0600000005</v>
      </c>
      <c r="M16" s="24">
        <v>8791064.0600000005</v>
      </c>
      <c r="N16" s="25">
        <f t="shared" si="0"/>
        <v>461873000</v>
      </c>
      <c r="O16" s="26"/>
      <c r="P16" s="26"/>
      <c r="Q16" s="26"/>
      <c r="R16" s="25">
        <f t="shared" si="1"/>
        <v>461873000</v>
      </c>
      <c r="S16" s="24">
        <v>259251698.80000001</v>
      </c>
      <c r="T16" s="27">
        <f t="shared" si="2"/>
        <v>0.56130516137552966</v>
      </c>
      <c r="U16" s="31">
        <v>259251698.80000001</v>
      </c>
      <c r="V16" s="27">
        <f t="shared" si="3"/>
        <v>0.56130516137552966</v>
      </c>
      <c r="W16" s="24">
        <v>258433780.19</v>
      </c>
      <c r="X16" s="27">
        <f t="shared" si="4"/>
        <v>0.55953428797526594</v>
      </c>
      <c r="Y16" s="5"/>
      <c r="Z16" s="5"/>
      <c r="AA16" s="5"/>
    </row>
    <row r="17" spans="1:27" ht="63" customHeight="1" x14ac:dyDescent="0.2">
      <c r="A17" s="21" t="s">
        <v>45</v>
      </c>
      <c r="B17" s="32" t="s">
        <v>46</v>
      </c>
      <c r="C17" s="32" t="s">
        <v>47</v>
      </c>
      <c r="D17" s="32" t="s">
        <v>58</v>
      </c>
      <c r="E17" s="32" t="s">
        <v>62</v>
      </c>
      <c r="F17" s="32" t="s">
        <v>59</v>
      </c>
      <c r="G17" s="32" t="s">
        <v>51</v>
      </c>
      <c r="H17" s="32" t="s">
        <v>143</v>
      </c>
      <c r="I17" s="32" t="s">
        <v>151</v>
      </c>
      <c r="J17" s="30">
        <v>1</v>
      </c>
      <c r="K17" s="33">
        <v>120000</v>
      </c>
      <c r="L17" s="34">
        <v>0</v>
      </c>
      <c r="M17" s="34">
        <v>0</v>
      </c>
      <c r="N17" s="35">
        <f t="shared" si="0"/>
        <v>120000</v>
      </c>
      <c r="O17" s="35"/>
      <c r="P17" s="35"/>
      <c r="Q17" s="35"/>
      <c r="R17" s="35">
        <f t="shared" si="1"/>
        <v>120000</v>
      </c>
      <c r="S17" s="36">
        <v>30160</v>
      </c>
      <c r="T17" s="37">
        <f t="shared" si="2"/>
        <v>0.25133333333333335</v>
      </c>
      <c r="U17" s="31">
        <v>30160</v>
      </c>
      <c r="V17" s="37">
        <f t="shared" si="3"/>
        <v>0.25133333333333335</v>
      </c>
      <c r="W17" s="34">
        <v>30160</v>
      </c>
      <c r="X17" s="37">
        <f t="shared" si="4"/>
        <v>0.25133333333333335</v>
      </c>
      <c r="Y17" s="5"/>
      <c r="Z17" s="5"/>
      <c r="AA17" s="5"/>
    </row>
    <row r="18" spans="1:27" ht="63" customHeight="1" x14ac:dyDescent="0.2">
      <c r="A18" s="21" t="s">
        <v>45</v>
      </c>
      <c r="B18" s="32" t="s">
        <v>46</v>
      </c>
      <c r="C18" s="32" t="s">
        <v>47</v>
      </c>
      <c r="D18" s="32" t="s">
        <v>61</v>
      </c>
      <c r="E18" s="32" t="s">
        <v>62</v>
      </c>
      <c r="F18" s="32" t="s">
        <v>63</v>
      </c>
      <c r="G18" s="32" t="s">
        <v>51</v>
      </c>
      <c r="H18" s="32" t="s">
        <v>143</v>
      </c>
      <c r="I18" s="32" t="s">
        <v>151</v>
      </c>
      <c r="J18" s="107">
        <v>3</v>
      </c>
      <c r="K18" s="34">
        <v>21351000</v>
      </c>
      <c r="L18" s="24">
        <v>12000</v>
      </c>
      <c r="M18" s="24">
        <v>12000</v>
      </c>
      <c r="N18" s="25">
        <f t="shared" si="0"/>
        <v>21351000</v>
      </c>
      <c r="O18" s="26"/>
      <c r="P18" s="26"/>
      <c r="Q18" s="26"/>
      <c r="R18" s="25">
        <f t="shared" si="1"/>
        <v>21351000</v>
      </c>
      <c r="S18" s="24">
        <v>12884322.74</v>
      </c>
      <c r="T18" s="27">
        <f t="shared" si="2"/>
        <v>0.6034528940096483</v>
      </c>
      <c r="U18" s="54">
        <v>12884322.74</v>
      </c>
      <c r="V18" s="27">
        <f t="shared" si="3"/>
        <v>0.6034528940096483</v>
      </c>
      <c r="W18" s="24">
        <v>12884322.74</v>
      </c>
      <c r="X18" s="27">
        <f t="shared" si="4"/>
        <v>0.6034528940096483</v>
      </c>
      <c r="Y18" s="5"/>
      <c r="Z18" s="5"/>
      <c r="AA18" s="5"/>
    </row>
    <row r="19" spans="1:27" ht="63" customHeight="1" x14ac:dyDescent="0.2">
      <c r="A19" s="21" t="s">
        <v>45</v>
      </c>
      <c r="B19" s="32" t="s">
        <v>46</v>
      </c>
      <c r="C19" s="32" t="s">
        <v>47</v>
      </c>
      <c r="D19" s="32" t="s">
        <v>110</v>
      </c>
      <c r="E19" s="32" t="s">
        <v>62</v>
      </c>
      <c r="F19" s="32" t="s">
        <v>144</v>
      </c>
      <c r="G19" s="32" t="s">
        <v>51</v>
      </c>
      <c r="H19" s="32" t="s">
        <v>143</v>
      </c>
      <c r="I19" s="32" t="s">
        <v>151</v>
      </c>
      <c r="J19" s="107">
        <v>3</v>
      </c>
      <c r="K19" s="34">
        <v>475000</v>
      </c>
      <c r="L19" s="24">
        <v>0</v>
      </c>
      <c r="M19" s="24">
        <v>0</v>
      </c>
      <c r="N19" s="25">
        <f t="shared" si="0"/>
        <v>475000</v>
      </c>
      <c r="O19" s="26"/>
      <c r="P19" s="26"/>
      <c r="Q19" s="26"/>
      <c r="R19" s="25">
        <f t="shared" si="1"/>
        <v>475000</v>
      </c>
      <c r="S19" s="24">
        <v>0</v>
      </c>
      <c r="T19" s="27">
        <f t="shared" si="2"/>
        <v>0</v>
      </c>
      <c r="U19" s="54">
        <v>0</v>
      </c>
      <c r="V19" s="27">
        <f t="shared" si="3"/>
        <v>0</v>
      </c>
      <c r="W19" s="24">
        <v>0</v>
      </c>
      <c r="X19" s="27">
        <f t="shared" si="4"/>
        <v>0</v>
      </c>
      <c r="Y19" s="5"/>
      <c r="Z19" s="5"/>
      <c r="AA19" s="5"/>
    </row>
    <row r="20" spans="1:27" ht="63" customHeight="1" x14ac:dyDescent="0.2">
      <c r="A20" s="21" t="s">
        <v>45</v>
      </c>
      <c r="B20" s="32" t="s">
        <v>46</v>
      </c>
      <c r="C20" s="32" t="s">
        <v>47</v>
      </c>
      <c r="D20" s="32" t="s">
        <v>64</v>
      </c>
      <c r="E20" s="32" t="s">
        <v>62</v>
      </c>
      <c r="F20" s="32" t="s">
        <v>152</v>
      </c>
      <c r="G20" s="32" t="s">
        <v>51</v>
      </c>
      <c r="H20" s="32" t="s">
        <v>143</v>
      </c>
      <c r="I20" s="32" t="s">
        <v>151</v>
      </c>
      <c r="J20" s="30">
        <v>1</v>
      </c>
      <c r="K20" s="34">
        <v>111000000</v>
      </c>
      <c r="L20" s="24">
        <v>8259000</v>
      </c>
      <c r="M20" s="24">
        <v>8259000</v>
      </c>
      <c r="N20" s="25">
        <f t="shared" si="0"/>
        <v>111000000</v>
      </c>
      <c r="O20" s="26"/>
      <c r="P20" s="26"/>
      <c r="Q20" s="26"/>
      <c r="R20" s="25">
        <f t="shared" si="1"/>
        <v>111000000</v>
      </c>
      <c r="S20" s="24">
        <v>67447845.730000004</v>
      </c>
      <c r="T20" s="27">
        <f t="shared" si="2"/>
        <v>0.60763824981981984</v>
      </c>
      <c r="U20" s="31">
        <v>67447845.730000004</v>
      </c>
      <c r="V20" s="27">
        <f t="shared" si="3"/>
        <v>0.60763824981981984</v>
      </c>
      <c r="W20" s="24">
        <v>66944169.340000004</v>
      </c>
      <c r="X20" s="27">
        <f t="shared" si="4"/>
        <v>0.60310062468468473</v>
      </c>
      <c r="Y20" s="5"/>
      <c r="Z20" s="5"/>
      <c r="AA20" s="5"/>
    </row>
    <row r="21" spans="1:27" ht="63" customHeight="1" x14ac:dyDescent="0.2">
      <c r="A21" s="21" t="s">
        <v>45</v>
      </c>
      <c r="B21" s="32" t="s">
        <v>46</v>
      </c>
      <c r="C21" s="32" t="s">
        <v>47</v>
      </c>
      <c r="D21" s="32" t="s">
        <v>66</v>
      </c>
      <c r="E21" s="32" t="s">
        <v>62</v>
      </c>
      <c r="F21" s="32" t="s">
        <v>67</v>
      </c>
      <c r="G21" s="32" t="s">
        <v>51</v>
      </c>
      <c r="H21" s="32" t="s">
        <v>143</v>
      </c>
      <c r="I21" s="32" t="s">
        <v>151</v>
      </c>
      <c r="J21" s="30">
        <v>1</v>
      </c>
      <c r="K21" s="34">
        <v>131100000</v>
      </c>
      <c r="L21" s="24">
        <v>605588</v>
      </c>
      <c r="M21" s="24">
        <v>605588</v>
      </c>
      <c r="N21" s="25">
        <f t="shared" si="0"/>
        <v>131100000</v>
      </c>
      <c r="O21" s="26"/>
      <c r="P21" s="26"/>
      <c r="Q21" s="26"/>
      <c r="R21" s="25">
        <f t="shared" si="1"/>
        <v>131100000</v>
      </c>
      <c r="S21" s="24">
        <v>84030611.329999998</v>
      </c>
      <c r="T21" s="27">
        <f t="shared" si="2"/>
        <v>0.64096576147978646</v>
      </c>
      <c r="U21" s="31">
        <v>84030611.329999998</v>
      </c>
      <c r="V21" s="27">
        <f t="shared" si="3"/>
        <v>0.64096576147978646</v>
      </c>
      <c r="W21" s="24">
        <v>83654896.540000007</v>
      </c>
      <c r="X21" s="27">
        <f t="shared" si="4"/>
        <v>0.63809989733028227</v>
      </c>
      <c r="Y21" s="5"/>
      <c r="Z21" s="5"/>
      <c r="AA21" s="5"/>
    </row>
    <row r="22" spans="1:27" ht="63" customHeight="1" x14ac:dyDescent="0.2">
      <c r="A22" s="21" t="s">
        <v>45</v>
      </c>
      <c r="B22" s="32" t="s">
        <v>46</v>
      </c>
      <c r="C22" s="32" t="s">
        <v>47</v>
      </c>
      <c r="D22" s="32" t="s">
        <v>68</v>
      </c>
      <c r="E22" s="32" t="s">
        <v>62</v>
      </c>
      <c r="F22" s="32" t="s">
        <v>69</v>
      </c>
      <c r="G22" s="32" t="s">
        <v>51</v>
      </c>
      <c r="H22" s="32" t="s">
        <v>143</v>
      </c>
      <c r="I22" s="32" t="s">
        <v>151</v>
      </c>
      <c r="J22" s="107">
        <v>3</v>
      </c>
      <c r="K22" s="34">
        <v>24100000</v>
      </c>
      <c r="L22" s="24">
        <v>0</v>
      </c>
      <c r="M22" s="24">
        <v>0</v>
      </c>
      <c r="N22" s="25">
        <f t="shared" si="0"/>
        <v>24100000</v>
      </c>
      <c r="O22" s="26"/>
      <c r="P22" s="26"/>
      <c r="Q22" s="26"/>
      <c r="R22" s="25">
        <f t="shared" si="1"/>
        <v>24100000</v>
      </c>
      <c r="S22" s="24">
        <v>14551152.75</v>
      </c>
      <c r="T22" s="27">
        <f t="shared" si="2"/>
        <v>0.60378227178423238</v>
      </c>
      <c r="U22" s="54">
        <v>14551152.75</v>
      </c>
      <c r="V22" s="27">
        <f t="shared" si="3"/>
        <v>0.60378227178423238</v>
      </c>
      <c r="W22" s="24">
        <v>14551152.75</v>
      </c>
      <c r="X22" s="27">
        <f t="shared" si="4"/>
        <v>0.60378227178423238</v>
      </c>
      <c r="Y22" s="5"/>
      <c r="Z22" s="5"/>
      <c r="AA22" s="5"/>
    </row>
    <row r="23" spans="1:27" ht="63" hidden="1" customHeight="1" x14ac:dyDescent="0.2">
      <c r="A23" s="21" t="s">
        <v>45</v>
      </c>
      <c r="B23" s="32" t="s">
        <v>46</v>
      </c>
      <c r="C23" s="32" t="s">
        <v>70</v>
      </c>
      <c r="D23" s="32" t="s">
        <v>71</v>
      </c>
      <c r="E23" s="32" t="s">
        <v>62</v>
      </c>
      <c r="F23" s="32" t="s">
        <v>72</v>
      </c>
      <c r="G23" s="32" t="s">
        <v>51</v>
      </c>
      <c r="H23" s="32" t="s">
        <v>52</v>
      </c>
      <c r="I23" s="32" t="s">
        <v>151</v>
      </c>
      <c r="J23" s="23">
        <v>3</v>
      </c>
      <c r="K23" s="34"/>
      <c r="L23" s="24"/>
      <c r="M23" s="24"/>
      <c r="N23" s="25">
        <f t="shared" si="0"/>
        <v>0</v>
      </c>
      <c r="O23" s="26"/>
      <c r="P23" s="26"/>
      <c r="Q23" s="26"/>
      <c r="R23" s="25">
        <f t="shared" si="1"/>
        <v>0</v>
      </c>
      <c r="S23" s="24"/>
      <c r="T23" s="27">
        <f t="shared" si="2"/>
        <v>0</v>
      </c>
      <c r="U23" s="28"/>
      <c r="V23" s="27">
        <f t="shared" si="3"/>
        <v>0</v>
      </c>
      <c r="W23" s="24"/>
      <c r="X23" s="27">
        <f t="shared" si="4"/>
        <v>0</v>
      </c>
      <c r="Y23" s="5"/>
      <c r="Z23" s="5"/>
      <c r="AA23" s="5"/>
    </row>
    <row r="24" spans="1:27" ht="63" customHeight="1" x14ac:dyDescent="0.2">
      <c r="A24" s="21" t="s">
        <v>45</v>
      </c>
      <c r="B24" s="32" t="s">
        <v>46</v>
      </c>
      <c r="C24" s="32" t="s">
        <v>73</v>
      </c>
      <c r="D24" s="32" t="s">
        <v>74</v>
      </c>
      <c r="E24" s="32" t="s">
        <v>62</v>
      </c>
      <c r="F24" s="32" t="s">
        <v>75</v>
      </c>
      <c r="G24" s="32" t="s">
        <v>51</v>
      </c>
      <c r="H24" s="32" t="s">
        <v>143</v>
      </c>
      <c r="I24" s="32" t="s">
        <v>151</v>
      </c>
      <c r="J24" s="30">
        <v>1</v>
      </c>
      <c r="K24" s="33">
        <v>120000</v>
      </c>
      <c r="L24" s="24">
        <v>0</v>
      </c>
      <c r="M24" s="24">
        <v>0</v>
      </c>
      <c r="N24" s="25">
        <f t="shared" si="0"/>
        <v>120000</v>
      </c>
      <c r="O24" s="25"/>
      <c r="P24" s="25"/>
      <c r="Q24" s="25"/>
      <c r="R24" s="25">
        <f t="shared" si="1"/>
        <v>120000</v>
      </c>
      <c r="S24" s="34">
        <v>63160</v>
      </c>
      <c r="T24" s="27">
        <f t="shared" si="2"/>
        <v>0.52633333333333332</v>
      </c>
      <c r="U24" s="31">
        <v>63160</v>
      </c>
      <c r="V24" s="27">
        <f t="shared" si="3"/>
        <v>0.52633333333333332</v>
      </c>
      <c r="W24" s="24">
        <v>63160</v>
      </c>
      <c r="X24" s="27">
        <f t="shared" si="4"/>
        <v>0.52633333333333332</v>
      </c>
      <c r="Y24" s="5"/>
      <c r="Z24" s="5"/>
      <c r="AA24" s="5"/>
    </row>
    <row r="25" spans="1:27" ht="63" customHeight="1" x14ac:dyDescent="0.2">
      <c r="A25" s="21" t="s">
        <v>45</v>
      </c>
      <c r="B25" s="32" t="s">
        <v>46</v>
      </c>
      <c r="C25" s="32" t="s">
        <v>76</v>
      </c>
      <c r="D25" s="32" t="s">
        <v>77</v>
      </c>
      <c r="E25" s="32" t="s">
        <v>153</v>
      </c>
      <c r="F25" s="32" t="s">
        <v>78</v>
      </c>
      <c r="G25" s="32" t="s">
        <v>154</v>
      </c>
      <c r="H25" s="32" t="s">
        <v>143</v>
      </c>
      <c r="I25" s="32" t="s">
        <v>151</v>
      </c>
      <c r="J25" s="30">
        <v>1</v>
      </c>
      <c r="K25" s="34">
        <f>115250000-K26</f>
        <v>109500000</v>
      </c>
      <c r="L25" s="24">
        <f>24129000</f>
        <v>24129000</v>
      </c>
      <c r="M25" s="24">
        <v>24129000</v>
      </c>
      <c r="N25" s="25">
        <f t="shared" si="0"/>
        <v>109500000</v>
      </c>
      <c r="O25" s="25"/>
      <c r="P25" s="25"/>
      <c r="Q25" s="25">
        <f>-9922000-20704500</f>
        <v>-30626500</v>
      </c>
      <c r="R25" s="25">
        <f t="shared" si="1"/>
        <v>78873500</v>
      </c>
      <c r="S25" s="24">
        <f>46102788.87-S26</f>
        <v>42810796.68</v>
      </c>
      <c r="T25" s="27">
        <f t="shared" si="2"/>
        <v>0.54277795051569921</v>
      </c>
      <c r="U25" s="31">
        <f>45911981.65-U26</f>
        <v>42619989.460000001</v>
      </c>
      <c r="V25" s="27">
        <f t="shared" si="3"/>
        <v>0.54035879553969335</v>
      </c>
      <c r="W25" s="24">
        <f>45911981.65-W26</f>
        <v>42619989.460000001</v>
      </c>
      <c r="X25" s="27">
        <f t="shared" si="4"/>
        <v>0.54035879553969335</v>
      </c>
      <c r="Y25" s="5"/>
      <c r="Z25" s="5"/>
      <c r="AA25" s="5"/>
    </row>
    <row r="26" spans="1:27" ht="63" customHeight="1" x14ac:dyDescent="0.2">
      <c r="A26" s="21" t="s">
        <v>45</v>
      </c>
      <c r="B26" s="32" t="s">
        <v>46</v>
      </c>
      <c r="C26" s="32" t="s">
        <v>76</v>
      </c>
      <c r="D26" s="32" t="s">
        <v>77</v>
      </c>
      <c r="E26" s="32" t="s">
        <v>153</v>
      </c>
      <c r="F26" s="32" t="s">
        <v>78</v>
      </c>
      <c r="G26" s="32" t="s">
        <v>154</v>
      </c>
      <c r="H26" s="32" t="s">
        <v>143</v>
      </c>
      <c r="I26" s="32" t="s">
        <v>151</v>
      </c>
      <c r="J26" s="107">
        <v>3</v>
      </c>
      <c r="K26" s="34">
        <v>5750000</v>
      </c>
      <c r="L26" s="24">
        <v>0</v>
      </c>
      <c r="M26" s="24">
        <v>0</v>
      </c>
      <c r="N26" s="25">
        <f t="shared" si="0"/>
        <v>5750000</v>
      </c>
      <c r="O26" s="25"/>
      <c r="P26" s="25"/>
      <c r="Q26" s="25"/>
      <c r="R26" s="25">
        <f t="shared" si="1"/>
        <v>5750000</v>
      </c>
      <c r="S26" s="24">
        <f>106700.52+3185291.67</f>
        <v>3291992.19</v>
      </c>
      <c r="T26" s="27">
        <f t="shared" si="2"/>
        <v>0.57252038086956525</v>
      </c>
      <c r="U26" s="54">
        <f>106700.52+3185291.67</f>
        <v>3291992.19</v>
      </c>
      <c r="V26" s="27">
        <f t="shared" si="3"/>
        <v>0.57252038086956525</v>
      </c>
      <c r="W26" s="24">
        <f>106700.52+3185291.67</f>
        <v>3291992.19</v>
      </c>
      <c r="X26" s="27">
        <f t="shared" si="4"/>
        <v>0.57252038086956525</v>
      </c>
      <c r="Y26" s="5"/>
      <c r="Z26" s="5"/>
      <c r="AA26" s="5"/>
    </row>
    <row r="27" spans="1:27" ht="63" hidden="1" customHeight="1" x14ac:dyDescent="0.2">
      <c r="A27" s="21" t="s">
        <v>45</v>
      </c>
      <c r="B27" s="22" t="s">
        <v>46</v>
      </c>
      <c r="C27" s="22" t="s">
        <v>76</v>
      </c>
      <c r="D27" s="22" t="s">
        <v>77</v>
      </c>
      <c r="E27" s="22" t="s">
        <v>62</v>
      </c>
      <c r="F27" s="22" t="s">
        <v>78</v>
      </c>
      <c r="G27" s="22" t="s">
        <v>51</v>
      </c>
      <c r="H27" s="22" t="s">
        <v>79</v>
      </c>
      <c r="I27" s="32" t="s">
        <v>151</v>
      </c>
      <c r="J27" s="30">
        <v>1</v>
      </c>
      <c r="K27" s="24"/>
      <c r="L27" s="24"/>
      <c r="M27" s="24"/>
      <c r="N27" s="25">
        <f t="shared" si="0"/>
        <v>0</v>
      </c>
      <c r="O27" s="25"/>
      <c r="P27" s="25"/>
      <c r="Q27" s="25"/>
      <c r="R27" s="25">
        <f t="shared" si="1"/>
        <v>0</v>
      </c>
      <c r="S27" s="24"/>
      <c r="T27" s="27">
        <f t="shared" si="2"/>
        <v>0</v>
      </c>
      <c r="U27" s="31"/>
      <c r="V27" s="27">
        <f t="shared" si="3"/>
        <v>0</v>
      </c>
      <c r="W27" s="24"/>
      <c r="X27" s="27">
        <f t="shared" si="4"/>
        <v>0</v>
      </c>
      <c r="Y27" s="5"/>
      <c r="Z27" s="5"/>
      <c r="AA27" s="5"/>
    </row>
    <row r="28" spans="1:27" ht="63" customHeight="1" x14ac:dyDescent="0.2">
      <c r="A28" s="21" t="s">
        <v>45</v>
      </c>
      <c r="B28" s="22" t="s">
        <v>46</v>
      </c>
      <c r="C28" s="22" t="s">
        <v>80</v>
      </c>
      <c r="D28" s="22" t="s">
        <v>81</v>
      </c>
      <c r="E28" s="22" t="s">
        <v>155</v>
      </c>
      <c r="F28" s="22" t="s">
        <v>82</v>
      </c>
      <c r="G28" s="22" t="s">
        <v>51</v>
      </c>
      <c r="H28" s="22" t="s">
        <v>143</v>
      </c>
      <c r="I28" s="32" t="s">
        <v>151</v>
      </c>
      <c r="J28" s="30">
        <v>1</v>
      </c>
      <c r="K28" s="24">
        <v>73000</v>
      </c>
      <c r="L28" s="24">
        <v>0</v>
      </c>
      <c r="M28" s="24">
        <v>0</v>
      </c>
      <c r="N28" s="25">
        <f t="shared" si="0"/>
        <v>73000</v>
      </c>
      <c r="O28" s="25"/>
      <c r="P28" s="25"/>
      <c r="Q28" s="25"/>
      <c r="R28" s="25">
        <f t="shared" si="1"/>
        <v>73000</v>
      </c>
      <c r="S28" s="24">
        <v>37495.96</v>
      </c>
      <c r="T28" s="27">
        <f t="shared" si="2"/>
        <v>0.51364328767123291</v>
      </c>
      <c r="U28" s="31">
        <v>37495.96</v>
      </c>
      <c r="V28" s="27">
        <f t="shared" si="3"/>
        <v>0.51364328767123291</v>
      </c>
      <c r="W28" s="24">
        <v>37495.96</v>
      </c>
      <c r="X28" s="27">
        <f t="shared" si="4"/>
        <v>0.51364328767123291</v>
      </c>
      <c r="Y28" s="5"/>
      <c r="Z28" s="5"/>
      <c r="AA28" s="5"/>
    </row>
    <row r="29" spans="1:27" ht="63" hidden="1" customHeight="1" x14ac:dyDescent="0.2">
      <c r="A29" s="21" t="s">
        <v>45</v>
      </c>
      <c r="B29" s="22" t="s">
        <v>46</v>
      </c>
      <c r="C29" s="22" t="s">
        <v>80</v>
      </c>
      <c r="D29" s="22" t="s">
        <v>81</v>
      </c>
      <c r="E29" s="22" t="s">
        <v>62</v>
      </c>
      <c r="F29" s="22" t="s">
        <v>82</v>
      </c>
      <c r="G29" s="22" t="s">
        <v>51</v>
      </c>
      <c r="H29" s="22" t="s">
        <v>79</v>
      </c>
      <c r="I29" s="22" t="s">
        <v>60</v>
      </c>
      <c r="J29" s="30">
        <v>1</v>
      </c>
      <c r="K29" s="24"/>
      <c r="L29" s="24"/>
      <c r="M29" s="24"/>
      <c r="N29" s="25">
        <f t="shared" si="0"/>
        <v>0</v>
      </c>
      <c r="O29" s="25"/>
      <c r="P29" s="25"/>
      <c r="Q29" s="25"/>
      <c r="R29" s="25">
        <f t="shared" si="1"/>
        <v>0</v>
      </c>
      <c r="S29" s="24"/>
      <c r="T29" s="27">
        <f t="shared" si="2"/>
        <v>0</v>
      </c>
      <c r="U29" s="31"/>
      <c r="V29" s="27">
        <f t="shared" si="3"/>
        <v>0</v>
      </c>
      <c r="W29" s="24"/>
      <c r="X29" s="27">
        <f t="shared" si="4"/>
        <v>0</v>
      </c>
      <c r="Y29" s="5"/>
      <c r="Z29" s="5"/>
      <c r="AA29" s="5"/>
    </row>
    <row r="30" spans="1:27" ht="16.5" customHeight="1" x14ac:dyDescent="0.2">
      <c r="A30" s="118" t="s">
        <v>83</v>
      </c>
      <c r="B30" s="115"/>
      <c r="C30" s="115"/>
      <c r="D30" s="115"/>
      <c r="E30" s="115"/>
      <c r="F30" s="115"/>
      <c r="G30" s="115"/>
      <c r="H30" s="115"/>
      <c r="I30" s="115"/>
      <c r="J30" s="113"/>
      <c r="K30" s="38">
        <f t="shared" ref="K30:N30" si="5">SUM(K14:K29)</f>
        <v>943786000</v>
      </c>
      <c r="L30" s="38">
        <f t="shared" si="5"/>
        <v>42427850.079999998</v>
      </c>
      <c r="M30" s="38">
        <f t="shared" si="5"/>
        <v>42427850.079999998</v>
      </c>
      <c r="N30" s="38">
        <f t="shared" si="5"/>
        <v>943786000</v>
      </c>
      <c r="O30" s="38">
        <f t="shared" ref="O30:P30" si="6">SUM(O14:O28)</f>
        <v>0</v>
      </c>
      <c r="P30" s="38">
        <f t="shared" si="6"/>
        <v>0</v>
      </c>
      <c r="Q30" s="38">
        <f t="shared" ref="Q30:S30" si="7">SUM(Q14:Q29)</f>
        <v>-30626500</v>
      </c>
      <c r="R30" s="38" t="e">
        <f t="shared" si="7"/>
        <v>#VALUE!</v>
      </c>
      <c r="S30" s="38">
        <f t="shared" si="7"/>
        <v>529367082.75999999</v>
      </c>
      <c r="T30" s="39" t="e">
        <f t="shared" si="2"/>
        <v>#VALUE!</v>
      </c>
      <c r="U30" s="38">
        <f>SUM(U14:U29)</f>
        <v>529176275.53999996</v>
      </c>
      <c r="V30" s="39" t="e">
        <f t="shared" si="3"/>
        <v>#VALUE!</v>
      </c>
      <c r="W30" s="38">
        <f>SUM(W14:W29)</f>
        <v>527478965.75</v>
      </c>
      <c r="X30" s="39" t="e">
        <f t="shared" si="4"/>
        <v>#VALUE!</v>
      </c>
      <c r="Y30" s="5"/>
      <c r="Z30" s="5"/>
      <c r="AA30" s="5"/>
    </row>
    <row r="31" spans="1:27" ht="15" customHeight="1" x14ac:dyDescent="0.2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38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9"/>
      <c r="W31" s="38"/>
      <c r="X31" s="39"/>
      <c r="Y31" s="5"/>
      <c r="Z31" s="5"/>
      <c r="AA31" s="5"/>
    </row>
    <row r="32" spans="1:27" ht="15" customHeight="1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42"/>
      <c r="M32" s="42"/>
      <c r="N32" s="42"/>
      <c r="O32" s="42"/>
      <c r="P32" s="42"/>
      <c r="Q32" s="42"/>
      <c r="R32" s="42"/>
      <c r="S32" s="42"/>
      <c r="T32" s="37"/>
      <c r="U32" s="42"/>
      <c r="V32" s="37"/>
      <c r="W32" s="42"/>
      <c r="X32" s="37"/>
      <c r="Y32" s="5"/>
      <c r="Z32" s="5"/>
      <c r="AA32" s="5"/>
    </row>
    <row r="33" spans="1:27" ht="54" customHeight="1" x14ac:dyDescent="0.2">
      <c r="A33" s="21" t="s">
        <v>84</v>
      </c>
      <c r="B33" s="32" t="s">
        <v>85</v>
      </c>
      <c r="C33" s="32" t="s">
        <v>47</v>
      </c>
      <c r="D33" s="32" t="s">
        <v>86</v>
      </c>
      <c r="E33" s="32" t="s">
        <v>87</v>
      </c>
      <c r="F33" s="32" t="s">
        <v>88</v>
      </c>
      <c r="G33" s="32" t="s">
        <v>51</v>
      </c>
      <c r="H33" s="32" t="s">
        <v>145</v>
      </c>
      <c r="I33" s="32" t="s">
        <v>156</v>
      </c>
      <c r="J33" s="43">
        <v>4</v>
      </c>
      <c r="K33" s="44">
        <v>4000000</v>
      </c>
      <c r="L33" s="24">
        <v>0</v>
      </c>
      <c r="M33" s="24">
        <v>4000000</v>
      </c>
      <c r="N33" s="25">
        <f t="shared" ref="N33:N81" si="8">K33+L33-M33</f>
        <v>0</v>
      </c>
      <c r="O33" s="25"/>
      <c r="P33" s="25"/>
      <c r="Q33" s="25"/>
      <c r="R33" s="25">
        <f t="shared" ref="R33:R81" si="9">N33-O33+P33+Q33</f>
        <v>0</v>
      </c>
      <c r="S33" s="44">
        <v>0</v>
      </c>
      <c r="T33" s="27">
        <f t="shared" ref="T33:T83" si="10">IF(R33&gt;0,S33/R33,0)</f>
        <v>0</v>
      </c>
      <c r="U33" s="45">
        <v>0</v>
      </c>
      <c r="V33" s="27">
        <f t="shared" ref="V33:V83" si="11">IF(R33&gt;0,U33/R33,0)</f>
        <v>0</v>
      </c>
      <c r="W33" s="24">
        <v>0</v>
      </c>
      <c r="X33" s="27">
        <f t="shared" ref="X33:X83" si="12">IF(R33&gt;0,W33/R33,0)</f>
        <v>0</v>
      </c>
      <c r="Y33" s="5"/>
      <c r="Z33" s="5"/>
      <c r="AA33" s="5"/>
    </row>
    <row r="34" spans="1:27" ht="54" hidden="1" customHeight="1" x14ac:dyDescent="0.2">
      <c r="A34" s="21" t="s">
        <v>84</v>
      </c>
      <c r="B34" s="32" t="s">
        <v>85</v>
      </c>
      <c r="C34" s="32" t="s">
        <v>47</v>
      </c>
      <c r="D34" s="32" t="s">
        <v>90</v>
      </c>
      <c r="E34" s="32" t="s">
        <v>87</v>
      </c>
      <c r="F34" s="32" t="s">
        <v>88</v>
      </c>
      <c r="G34" s="32" t="s">
        <v>51</v>
      </c>
      <c r="H34" s="32" t="s">
        <v>91</v>
      </c>
      <c r="I34" s="32" t="s">
        <v>156</v>
      </c>
      <c r="J34" s="23">
        <v>3</v>
      </c>
      <c r="K34" s="44"/>
      <c r="L34" s="24"/>
      <c r="M34" s="24"/>
      <c r="N34" s="25">
        <f t="shared" si="8"/>
        <v>0</v>
      </c>
      <c r="O34" s="25"/>
      <c r="P34" s="25"/>
      <c r="Q34" s="25"/>
      <c r="R34" s="25">
        <f t="shared" si="9"/>
        <v>0</v>
      </c>
      <c r="S34" s="44"/>
      <c r="T34" s="27">
        <f t="shared" si="10"/>
        <v>0</v>
      </c>
      <c r="U34" s="28"/>
      <c r="V34" s="27">
        <f t="shared" si="11"/>
        <v>0</v>
      </c>
      <c r="W34" s="24"/>
      <c r="X34" s="27">
        <f t="shared" si="12"/>
        <v>0</v>
      </c>
      <c r="Y34" s="5"/>
      <c r="Z34" s="5"/>
      <c r="AA34" s="5"/>
    </row>
    <row r="35" spans="1:27" ht="54" hidden="1" customHeight="1" x14ac:dyDescent="0.2">
      <c r="A35" s="21" t="s">
        <v>84</v>
      </c>
      <c r="B35" s="32" t="s">
        <v>85</v>
      </c>
      <c r="C35" s="32" t="s">
        <v>47</v>
      </c>
      <c r="D35" s="32" t="s">
        <v>92</v>
      </c>
      <c r="E35" s="32" t="s">
        <v>87</v>
      </c>
      <c r="F35" s="32" t="s">
        <v>88</v>
      </c>
      <c r="G35" s="32" t="s">
        <v>51</v>
      </c>
      <c r="H35" s="32" t="s">
        <v>91</v>
      </c>
      <c r="I35" s="32" t="s">
        <v>156</v>
      </c>
      <c r="J35" s="43">
        <v>4</v>
      </c>
      <c r="K35" s="44"/>
      <c r="L35" s="24"/>
      <c r="M35" s="24"/>
      <c r="N35" s="25">
        <f t="shared" si="8"/>
        <v>0</v>
      </c>
      <c r="O35" s="25"/>
      <c r="P35" s="25"/>
      <c r="Q35" s="25"/>
      <c r="R35" s="25">
        <f t="shared" si="9"/>
        <v>0</v>
      </c>
      <c r="S35" s="44"/>
      <c r="T35" s="27">
        <f t="shared" si="10"/>
        <v>0</v>
      </c>
      <c r="U35" s="45"/>
      <c r="V35" s="27">
        <f t="shared" si="11"/>
        <v>0</v>
      </c>
      <c r="W35" s="24"/>
      <c r="X35" s="27">
        <f t="shared" si="12"/>
        <v>0</v>
      </c>
      <c r="Y35" s="5"/>
      <c r="Z35" s="5"/>
      <c r="AA35" s="5"/>
    </row>
    <row r="36" spans="1:27" ht="54" customHeight="1" x14ac:dyDescent="0.2">
      <c r="A36" s="21" t="s">
        <v>84</v>
      </c>
      <c r="B36" s="32" t="s">
        <v>85</v>
      </c>
      <c r="C36" s="32" t="s">
        <v>47</v>
      </c>
      <c r="D36" s="32" t="s">
        <v>157</v>
      </c>
      <c r="E36" s="32" t="s">
        <v>87</v>
      </c>
      <c r="F36" s="32" t="s">
        <v>88</v>
      </c>
      <c r="G36" s="32" t="s">
        <v>51</v>
      </c>
      <c r="H36" s="32" t="s">
        <v>158</v>
      </c>
      <c r="I36" s="32" t="s">
        <v>156</v>
      </c>
      <c r="J36" s="107">
        <v>3</v>
      </c>
      <c r="K36" s="44">
        <v>0</v>
      </c>
      <c r="L36" s="24">
        <v>30090</v>
      </c>
      <c r="M36" s="24">
        <v>0</v>
      </c>
      <c r="N36" s="25">
        <f t="shared" si="8"/>
        <v>30090</v>
      </c>
      <c r="O36" s="25"/>
      <c r="P36" s="25"/>
      <c r="Q36" s="25"/>
      <c r="R36" s="25">
        <f t="shared" si="9"/>
        <v>30090</v>
      </c>
      <c r="S36" s="44">
        <v>30090</v>
      </c>
      <c r="T36" s="27">
        <f t="shared" si="10"/>
        <v>1</v>
      </c>
      <c r="U36" s="54">
        <v>0</v>
      </c>
      <c r="V36" s="27">
        <f t="shared" si="11"/>
        <v>0</v>
      </c>
      <c r="W36" s="24">
        <v>0</v>
      </c>
      <c r="X36" s="27">
        <f t="shared" si="12"/>
        <v>0</v>
      </c>
      <c r="Y36" s="5"/>
      <c r="Z36" s="5"/>
      <c r="AA36" s="5"/>
    </row>
    <row r="37" spans="1:27" ht="54" hidden="1" customHeight="1" x14ac:dyDescent="0.2">
      <c r="A37" s="21" t="s">
        <v>84</v>
      </c>
      <c r="B37" s="32" t="s">
        <v>85</v>
      </c>
      <c r="C37" s="32" t="s">
        <v>47</v>
      </c>
      <c r="D37" s="32" t="s">
        <v>93</v>
      </c>
      <c r="E37" s="32" t="s">
        <v>87</v>
      </c>
      <c r="F37" s="32" t="s">
        <v>88</v>
      </c>
      <c r="G37" s="32" t="s">
        <v>51</v>
      </c>
      <c r="H37" s="32" t="s">
        <v>89</v>
      </c>
      <c r="I37" s="32" t="s">
        <v>156</v>
      </c>
      <c r="J37" s="107">
        <v>3</v>
      </c>
      <c r="K37" s="44"/>
      <c r="L37" s="24"/>
      <c r="M37" s="24"/>
      <c r="N37" s="25">
        <f t="shared" si="8"/>
        <v>0</v>
      </c>
      <c r="O37" s="25"/>
      <c r="P37" s="25"/>
      <c r="Q37" s="25"/>
      <c r="R37" s="25">
        <f t="shared" si="9"/>
        <v>0</v>
      </c>
      <c r="S37" s="44"/>
      <c r="T37" s="27">
        <f t="shared" si="10"/>
        <v>0</v>
      </c>
      <c r="U37" s="54"/>
      <c r="V37" s="27">
        <f t="shared" si="11"/>
        <v>0</v>
      </c>
      <c r="W37" s="24"/>
      <c r="X37" s="27">
        <f t="shared" si="12"/>
        <v>0</v>
      </c>
      <c r="Y37" s="5"/>
      <c r="Z37" s="5"/>
      <c r="AA37" s="5"/>
    </row>
    <row r="38" spans="1:27" ht="54" hidden="1" customHeight="1" x14ac:dyDescent="0.2">
      <c r="A38" s="46" t="s">
        <v>84</v>
      </c>
      <c r="B38" s="32" t="s">
        <v>85</v>
      </c>
      <c r="C38" s="106" t="s">
        <v>47</v>
      </c>
      <c r="D38" s="106" t="s">
        <v>93</v>
      </c>
      <c r="E38" s="32" t="s">
        <v>87</v>
      </c>
      <c r="F38" s="32" t="s">
        <v>88</v>
      </c>
      <c r="G38" s="106" t="s">
        <v>51</v>
      </c>
      <c r="H38" s="106" t="s">
        <v>91</v>
      </c>
      <c r="I38" s="32" t="s">
        <v>156</v>
      </c>
      <c r="J38" s="109">
        <v>4</v>
      </c>
      <c r="K38" s="44"/>
      <c r="L38" s="49"/>
      <c r="M38" s="49"/>
      <c r="N38" s="25">
        <f t="shared" si="8"/>
        <v>0</v>
      </c>
      <c r="O38" s="50"/>
      <c r="P38" s="50"/>
      <c r="Q38" s="50"/>
      <c r="R38" s="25">
        <f t="shared" si="9"/>
        <v>0</v>
      </c>
      <c r="S38" s="51"/>
      <c r="T38" s="27">
        <f t="shared" si="10"/>
        <v>0</v>
      </c>
      <c r="U38" s="110"/>
      <c r="V38" s="27">
        <f t="shared" si="11"/>
        <v>0</v>
      </c>
      <c r="W38" s="49"/>
      <c r="X38" s="27">
        <f t="shared" si="12"/>
        <v>0</v>
      </c>
      <c r="Y38" s="5"/>
      <c r="Z38" s="5"/>
      <c r="AA38" s="5"/>
    </row>
    <row r="39" spans="1:27" ht="54" customHeight="1" x14ac:dyDescent="0.2">
      <c r="A39" s="21" t="s">
        <v>84</v>
      </c>
      <c r="B39" s="32" t="s">
        <v>85</v>
      </c>
      <c r="C39" s="32" t="s">
        <v>47</v>
      </c>
      <c r="D39" s="32" t="s">
        <v>94</v>
      </c>
      <c r="E39" s="32" t="s">
        <v>87</v>
      </c>
      <c r="F39" s="32" t="s">
        <v>88</v>
      </c>
      <c r="G39" s="32" t="s">
        <v>51</v>
      </c>
      <c r="H39" s="32" t="s">
        <v>145</v>
      </c>
      <c r="I39" s="32" t="s">
        <v>156</v>
      </c>
      <c r="J39" s="107">
        <v>3</v>
      </c>
      <c r="K39" s="33">
        <v>0</v>
      </c>
      <c r="L39" s="24">
        <v>564822.43999999994</v>
      </c>
      <c r="M39" s="24">
        <v>0</v>
      </c>
      <c r="N39" s="25">
        <f t="shared" si="8"/>
        <v>564822.43999999994</v>
      </c>
      <c r="O39" s="26"/>
      <c r="P39" s="26"/>
      <c r="Q39" s="26"/>
      <c r="R39" s="25">
        <f t="shared" si="9"/>
        <v>564822.43999999994</v>
      </c>
      <c r="S39" s="36">
        <v>564822.43999999994</v>
      </c>
      <c r="T39" s="27">
        <f t="shared" si="10"/>
        <v>1</v>
      </c>
      <c r="U39" s="54">
        <f>540951.55</f>
        <v>540951.55000000005</v>
      </c>
      <c r="V39" s="27">
        <f t="shared" si="11"/>
        <v>0.95773735547759065</v>
      </c>
      <c r="W39" s="24">
        <v>540951.55000000005</v>
      </c>
      <c r="X39" s="27">
        <f t="shared" si="12"/>
        <v>0.95773735547759065</v>
      </c>
      <c r="Y39" s="5"/>
      <c r="Z39" s="5"/>
      <c r="AA39" s="5"/>
    </row>
    <row r="40" spans="1:27" ht="54" customHeight="1" x14ac:dyDescent="0.2">
      <c r="A40" s="21" t="s">
        <v>84</v>
      </c>
      <c r="B40" s="32" t="s">
        <v>85</v>
      </c>
      <c r="C40" s="32" t="s">
        <v>47</v>
      </c>
      <c r="D40" s="32" t="s">
        <v>94</v>
      </c>
      <c r="E40" s="32" t="s">
        <v>87</v>
      </c>
      <c r="F40" s="32" t="s">
        <v>88</v>
      </c>
      <c r="G40" s="32" t="s">
        <v>51</v>
      </c>
      <c r="H40" s="32" t="s">
        <v>145</v>
      </c>
      <c r="I40" s="32" t="s">
        <v>156</v>
      </c>
      <c r="J40" s="43">
        <v>4</v>
      </c>
      <c r="K40" s="33">
        <v>0</v>
      </c>
      <c r="L40" s="24">
        <v>675695.59</v>
      </c>
      <c r="M40" s="24">
        <v>0</v>
      </c>
      <c r="N40" s="25">
        <f t="shared" si="8"/>
        <v>675695.59</v>
      </c>
      <c r="O40" s="26"/>
      <c r="P40" s="26"/>
      <c r="Q40" s="26"/>
      <c r="R40" s="25">
        <f t="shared" si="9"/>
        <v>675695.59</v>
      </c>
      <c r="S40" s="36">
        <f>305000+370695.59</f>
        <v>675695.59000000008</v>
      </c>
      <c r="T40" s="27">
        <f t="shared" si="10"/>
        <v>1.0000000000000002</v>
      </c>
      <c r="U40" s="45">
        <v>370695.59</v>
      </c>
      <c r="V40" s="27">
        <f t="shared" si="11"/>
        <v>0.54861330381037421</v>
      </c>
      <c r="W40" s="24">
        <v>370695.59</v>
      </c>
      <c r="X40" s="27">
        <f t="shared" si="12"/>
        <v>0.54861330381037421</v>
      </c>
      <c r="Y40" s="5"/>
      <c r="Z40" s="5"/>
      <c r="AA40" s="5"/>
    </row>
    <row r="41" spans="1:27" ht="54" customHeight="1" x14ac:dyDescent="0.2">
      <c r="A41" s="21" t="s">
        <v>84</v>
      </c>
      <c r="B41" s="32" t="s">
        <v>85</v>
      </c>
      <c r="C41" s="32" t="s">
        <v>47</v>
      </c>
      <c r="D41" s="32" t="s">
        <v>94</v>
      </c>
      <c r="E41" s="32" t="s">
        <v>87</v>
      </c>
      <c r="F41" s="32" t="s">
        <v>88</v>
      </c>
      <c r="G41" s="32" t="s">
        <v>51</v>
      </c>
      <c r="H41" s="32" t="s">
        <v>158</v>
      </c>
      <c r="I41" s="32" t="s">
        <v>156</v>
      </c>
      <c r="J41" s="43">
        <v>4</v>
      </c>
      <c r="K41" s="33">
        <v>0</v>
      </c>
      <c r="L41" s="24">
        <v>134178.35</v>
      </c>
      <c r="M41" s="24">
        <v>0</v>
      </c>
      <c r="N41" s="25">
        <f t="shared" si="8"/>
        <v>134178.35</v>
      </c>
      <c r="O41" s="26"/>
      <c r="P41" s="26"/>
      <c r="Q41" s="26"/>
      <c r="R41" s="25">
        <f t="shared" si="9"/>
        <v>134178.35</v>
      </c>
      <c r="S41" s="36">
        <v>0</v>
      </c>
      <c r="T41" s="27">
        <f t="shared" si="10"/>
        <v>0</v>
      </c>
      <c r="U41" s="45">
        <v>0</v>
      </c>
      <c r="V41" s="27">
        <f t="shared" si="11"/>
        <v>0</v>
      </c>
      <c r="W41" s="24">
        <v>0</v>
      </c>
      <c r="X41" s="27">
        <f t="shared" si="12"/>
        <v>0</v>
      </c>
      <c r="Y41" s="5"/>
      <c r="Z41" s="5"/>
      <c r="AA41" s="5"/>
    </row>
    <row r="42" spans="1:27" ht="54" customHeight="1" x14ac:dyDescent="0.2">
      <c r="A42" s="21" t="s">
        <v>84</v>
      </c>
      <c r="B42" s="32" t="s">
        <v>85</v>
      </c>
      <c r="C42" s="32" t="s">
        <v>47</v>
      </c>
      <c r="D42" s="32" t="s">
        <v>95</v>
      </c>
      <c r="E42" s="32" t="s">
        <v>87</v>
      </c>
      <c r="F42" s="32" t="s">
        <v>96</v>
      </c>
      <c r="G42" s="32" t="s">
        <v>51</v>
      </c>
      <c r="H42" s="32" t="s">
        <v>145</v>
      </c>
      <c r="I42" s="32" t="s">
        <v>156</v>
      </c>
      <c r="J42" s="43">
        <v>4</v>
      </c>
      <c r="K42" s="33">
        <v>16520000</v>
      </c>
      <c r="L42" s="24">
        <v>0</v>
      </c>
      <c r="M42" s="24">
        <v>10714766.68</v>
      </c>
      <c r="N42" s="25">
        <f t="shared" si="8"/>
        <v>5805233.3200000003</v>
      </c>
      <c r="O42" s="25"/>
      <c r="P42" s="25"/>
      <c r="Q42" s="25"/>
      <c r="R42" s="25">
        <f t="shared" si="9"/>
        <v>5805233.3200000003</v>
      </c>
      <c r="S42" s="33">
        <v>0</v>
      </c>
      <c r="T42" s="27">
        <f t="shared" si="10"/>
        <v>0</v>
      </c>
      <c r="U42" s="45">
        <v>0</v>
      </c>
      <c r="V42" s="27">
        <f t="shared" si="11"/>
        <v>0</v>
      </c>
      <c r="W42" s="24">
        <v>0</v>
      </c>
      <c r="X42" s="27">
        <f t="shared" si="12"/>
        <v>0</v>
      </c>
      <c r="Y42" s="5"/>
      <c r="Z42" s="5"/>
      <c r="AA42" s="5"/>
    </row>
    <row r="43" spans="1:27" ht="54" customHeight="1" x14ac:dyDescent="0.2">
      <c r="A43" s="21" t="s">
        <v>84</v>
      </c>
      <c r="B43" s="32" t="s">
        <v>85</v>
      </c>
      <c r="C43" s="32" t="s">
        <v>47</v>
      </c>
      <c r="D43" s="32" t="s">
        <v>146</v>
      </c>
      <c r="E43" s="32" t="s">
        <v>87</v>
      </c>
      <c r="F43" s="32" t="s">
        <v>96</v>
      </c>
      <c r="G43" s="32" t="s">
        <v>51</v>
      </c>
      <c r="H43" s="32" t="s">
        <v>145</v>
      </c>
      <c r="I43" s="32" t="s">
        <v>156</v>
      </c>
      <c r="J43" s="43">
        <v>4</v>
      </c>
      <c r="K43" s="33">
        <v>0</v>
      </c>
      <c r="L43" s="24">
        <v>3034594.58</v>
      </c>
      <c r="M43" s="24">
        <v>0</v>
      </c>
      <c r="N43" s="25">
        <f t="shared" si="8"/>
        <v>3034594.58</v>
      </c>
      <c r="O43" s="25"/>
      <c r="P43" s="25"/>
      <c r="Q43" s="25"/>
      <c r="R43" s="25">
        <f t="shared" si="9"/>
        <v>3034594.58</v>
      </c>
      <c r="S43" s="33">
        <v>3034594.58</v>
      </c>
      <c r="T43" s="27">
        <f t="shared" si="10"/>
        <v>1</v>
      </c>
      <c r="U43" s="45">
        <v>1910669.62</v>
      </c>
      <c r="V43" s="27">
        <f t="shared" si="11"/>
        <v>0.6296292864267885</v>
      </c>
      <c r="W43" s="24">
        <v>1910669.62</v>
      </c>
      <c r="X43" s="27">
        <f t="shared" si="12"/>
        <v>0.6296292864267885</v>
      </c>
      <c r="Y43" s="5"/>
      <c r="Z43" s="5"/>
      <c r="AA43" s="5"/>
    </row>
    <row r="44" spans="1:27" ht="54" customHeight="1" x14ac:dyDescent="0.2">
      <c r="A44" s="21" t="s">
        <v>84</v>
      </c>
      <c r="B44" s="32" t="s">
        <v>85</v>
      </c>
      <c r="C44" s="32" t="s">
        <v>47</v>
      </c>
      <c r="D44" s="32" t="s">
        <v>146</v>
      </c>
      <c r="E44" s="32" t="s">
        <v>87</v>
      </c>
      <c r="F44" s="32" t="s">
        <v>96</v>
      </c>
      <c r="G44" s="32" t="s">
        <v>51</v>
      </c>
      <c r="H44" s="32" t="s">
        <v>158</v>
      </c>
      <c r="I44" s="32" t="s">
        <v>156</v>
      </c>
      <c r="J44" s="43">
        <v>4</v>
      </c>
      <c r="K44" s="33">
        <v>0</v>
      </c>
      <c r="L44" s="24">
        <v>211303.86</v>
      </c>
      <c r="M44" s="24">
        <v>0</v>
      </c>
      <c r="N44" s="25">
        <f t="shared" si="8"/>
        <v>211303.86</v>
      </c>
      <c r="O44" s="25"/>
      <c r="P44" s="25"/>
      <c r="Q44" s="25"/>
      <c r="R44" s="25">
        <f t="shared" si="9"/>
        <v>211303.86</v>
      </c>
      <c r="S44" s="33">
        <v>211303.86</v>
      </c>
      <c r="T44" s="27">
        <f t="shared" si="10"/>
        <v>1</v>
      </c>
      <c r="U44" s="45">
        <v>0</v>
      </c>
      <c r="V44" s="27">
        <f t="shared" si="11"/>
        <v>0</v>
      </c>
      <c r="W44" s="24">
        <v>0</v>
      </c>
      <c r="X44" s="27">
        <f t="shared" si="12"/>
        <v>0</v>
      </c>
      <c r="Y44" s="5"/>
      <c r="Z44" s="5"/>
      <c r="AA44" s="5"/>
    </row>
    <row r="45" spans="1:27" ht="54" customHeight="1" x14ac:dyDescent="0.2">
      <c r="A45" s="21" t="s">
        <v>84</v>
      </c>
      <c r="B45" s="32" t="s">
        <v>85</v>
      </c>
      <c r="C45" s="32" t="s">
        <v>47</v>
      </c>
      <c r="D45" s="32" t="s">
        <v>147</v>
      </c>
      <c r="E45" s="32" t="s">
        <v>87</v>
      </c>
      <c r="F45" s="32" t="s">
        <v>96</v>
      </c>
      <c r="G45" s="32" t="s">
        <v>51</v>
      </c>
      <c r="H45" s="32" t="s">
        <v>145</v>
      </c>
      <c r="I45" s="32" t="s">
        <v>156</v>
      </c>
      <c r="J45" s="43">
        <v>4</v>
      </c>
      <c r="K45" s="33">
        <v>0</v>
      </c>
      <c r="L45" s="24">
        <v>6430080.5599999996</v>
      </c>
      <c r="M45" s="24">
        <v>0</v>
      </c>
      <c r="N45" s="25">
        <f t="shared" si="8"/>
        <v>6430080.5599999996</v>
      </c>
      <c r="O45" s="25"/>
      <c r="P45" s="25"/>
      <c r="Q45" s="25"/>
      <c r="R45" s="25">
        <f t="shared" si="9"/>
        <v>6430080.5599999996</v>
      </c>
      <c r="S45" s="33">
        <v>147314.68</v>
      </c>
      <c r="T45" s="27">
        <f t="shared" si="10"/>
        <v>2.2910238623822157E-2</v>
      </c>
      <c r="U45" s="45">
        <v>147314.68</v>
      </c>
      <c r="V45" s="27">
        <f t="shared" si="11"/>
        <v>2.2910238623822157E-2</v>
      </c>
      <c r="W45" s="24">
        <v>147314.68</v>
      </c>
      <c r="X45" s="27">
        <f t="shared" si="12"/>
        <v>2.2910238623822157E-2</v>
      </c>
      <c r="Y45" s="5"/>
      <c r="Z45" s="5"/>
      <c r="AA45" s="5"/>
    </row>
    <row r="46" spans="1:27" ht="54" customHeight="1" x14ac:dyDescent="0.2">
      <c r="A46" s="21" t="s">
        <v>84</v>
      </c>
      <c r="B46" s="32" t="s">
        <v>85</v>
      </c>
      <c r="C46" s="32" t="s">
        <v>47</v>
      </c>
      <c r="D46" s="32" t="s">
        <v>164</v>
      </c>
      <c r="E46" s="32" t="s">
        <v>87</v>
      </c>
      <c r="F46" s="32" t="s">
        <v>96</v>
      </c>
      <c r="G46" s="32" t="s">
        <v>51</v>
      </c>
      <c r="H46" s="32" t="s">
        <v>158</v>
      </c>
      <c r="I46" s="32" t="s">
        <v>156</v>
      </c>
      <c r="J46" s="43">
        <v>4</v>
      </c>
      <c r="K46" s="33">
        <v>0</v>
      </c>
      <c r="L46" s="24">
        <v>7450000</v>
      </c>
      <c r="M46" s="24">
        <v>0</v>
      </c>
      <c r="N46" s="25">
        <f t="shared" si="8"/>
        <v>7450000</v>
      </c>
      <c r="O46" s="25"/>
      <c r="P46" s="25"/>
      <c r="Q46" s="25"/>
      <c r="R46" s="25">
        <f t="shared" si="9"/>
        <v>7450000</v>
      </c>
      <c r="S46" s="33">
        <v>0</v>
      </c>
      <c r="T46" s="27">
        <f t="shared" si="10"/>
        <v>0</v>
      </c>
      <c r="U46" s="45">
        <v>0</v>
      </c>
      <c r="V46" s="27">
        <f t="shared" si="11"/>
        <v>0</v>
      </c>
      <c r="W46" s="24">
        <v>0</v>
      </c>
      <c r="X46" s="27">
        <f t="shared" si="12"/>
        <v>0</v>
      </c>
      <c r="Y46" s="5"/>
      <c r="Z46" s="5"/>
      <c r="AA46" s="5"/>
    </row>
    <row r="47" spans="1:27" ht="54" customHeight="1" x14ac:dyDescent="0.2">
      <c r="A47" s="21" t="s">
        <v>84</v>
      </c>
      <c r="B47" s="32" t="s">
        <v>85</v>
      </c>
      <c r="C47" s="32" t="s">
        <v>47</v>
      </c>
      <c r="D47" s="32" t="s">
        <v>97</v>
      </c>
      <c r="E47" s="32" t="s">
        <v>87</v>
      </c>
      <c r="F47" s="32" t="s">
        <v>98</v>
      </c>
      <c r="G47" s="32" t="s">
        <v>51</v>
      </c>
      <c r="H47" s="32" t="s">
        <v>145</v>
      </c>
      <c r="I47" s="32" t="s">
        <v>156</v>
      </c>
      <c r="J47" s="43">
        <v>4</v>
      </c>
      <c r="K47" s="33">
        <v>100000</v>
      </c>
      <c r="L47" s="24">
        <v>0</v>
      </c>
      <c r="M47" s="24">
        <v>0</v>
      </c>
      <c r="N47" s="25">
        <f t="shared" si="8"/>
        <v>100000</v>
      </c>
      <c r="O47" s="25"/>
      <c r="P47" s="25"/>
      <c r="Q47" s="25"/>
      <c r="R47" s="25">
        <f t="shared" si="9"/>
        <v>100000</v>
      </c>
      <c r="S47" s="33">
        <v>0</v>
      </c>
      <c r="T47" s="27">
        <f t="shared" si="10"/>
        <v>0</v>
      </c>
      <c r="U47" s="45">
        <v>0</v>
      </c>
      <c r="V47" s="27">
        <f t="shared" si="11"/>
        <v>0</v>
      </c>
      <c r="W47" s="24">
        <v>0</v>
      </c>
      <c r="X47" s="27">
        <f t="shared" si="12"/>
        <v>0</v>
      </c>
      <c r="Y47" s="5"/>
      <c r="Z47" s="5"/>
      <c r="AA47" s="5"/>
    </row>
    <row r="48" spans="1:27" ht="54" customHeight="1" x14ac:dyDescent="0.2">
      <c r="A48" s="21" t="s">
        <v>84</v>
      </c>
      <c r="B48" s="32" t="s">
        <v>85</v>
      </c>
      <c r="C48" s="32" t="s">
        <v>47</v>
      </c>
      <c r="D48" s="32" t="s">
        <v>48</v>
      </c>
      <c r="E48" s="32" t="s">
        <v>87</v>
      </c>
      <c r="F48" s="32" t="s">
        <v>99</v>
      </c>
      <c r="G48" s="32" t="s">
        <v>51</v>
      </c>
      <c r="H48" s="32" t="s">
        <v>145</v>
      </c>
      <c r="I48" s="32" t="s">
        <v>156</v>
      </c>
      <c r="J48" s="107">
        <v>3</v>
      </c>
      <c r="K48" s="33">
        <f>54800000-K49</f>
        <v>53000000</v>
      </c>
      <c r="L48" s="24">
        <v>14546008.210000001</v>
      </c>
      <c r="M48" s="24">
        <f>3837560.35-M49</f>
        <v>3288208.19</v>
      </c>
      <c r="N48" s="25">
        <f t="shared" si="8"/>
        <v>64257800.020000011</v>
      </c>
      <c r="O48" s="25"/>
      <c r="P48" s="25"/>
      <c r="Q48" s="25"/>
      <c r="R48" s="25">
        <f t="shared" si="9"/>
        <v>64257800.020000011</v>
      </c>
      <c r="S48" s="33">
        <f>46130052.56-S49</f>
        <v>45149328.789999999</v>
      </c>
      <c r="T48" s="27">
        <f t="shared" si="10"/>
        <v>0.70262798875696697</v>
      </c>
      <c r="U48" s="54">
        <f>24877126.12-U49</f>
        <v>23928976.350000001</v>
      </c>
      <c r="V48" s="27">
        <f t="shared" si="11"/>
        <v>0.37239022099343883</v>
      </c>
      <c r="W48" s="24">
        <f>24798636.83-W49</f>
        <v>23850487.059999999</v>
      </c>
      <c r="X48" s="27">
        <f t="shared" si="12"/>
        <v>0.37116874609116124</v>
      </c>
      <c r="Y48" s="5"/>
      <c r="Z48" s="5"/>
      <c r="AA48" s="5"/>
    </row>
    <row r="49" spans="1:27" ht="54" customHeight="1" x14ac:dyDescent="0.2">
      <c r="A49" s="21" t="s">
        <v>84</v>
      </c>
      <c r="B49" s="32" t="s">
        <v>85</v>
      </c>
      <c r="C49" s="32" t="s">
        <v>47</v>
      </c>
      <c r="D49" s="32" t="s">
        <v>48</v>
      </c>
      <c r="E49" s="32" t="s">
        <v>87</v>
      </c>
      <c r="F49" s="32" t="s">
        <v>99</v>
      </c>
      <c r="G49" s="32" t="s">
        <v>51</v>
      </c>
      <c r="H49" s="32" t="s">
        <v>145</v>
      </c>
      <c r="I49" s="32" t="s">
        <v>156</v>
      </c>
      <c r="J49" s="43">
        <v>4</v>
      </c>
      <c r="K49" s="33">
        <v>1800000</v>
      </c>
      <c r="L49" s="24">
        <v>0</v>
      </c>
      <c r="M49" s="24">
        <v>549352.16</v>
      </c>
      <c r="N49" s="25">
        <f t="shared" si="8"/>
        <v>1250647.8399999999</v>
      </c>
      <c r="O49" s="25"/>
      <c r="P49" s="25"/>
      <c r="Q49" s="25"/>
      <c r="R49" s="25">
        <f t="shared" si="9"/>
        <v>1250647.8399999999</v>
      </c>
      <c r="S49" s="24">
        <f>13539+349149.77+599000+19035</f>
        <v>980723.77</v>
      </c>
      <c r="T49" s="27">
        <f t="shared" si="10"/>
        <v>0.78417260129758037</v>
      </c>
      <c r="U49" s="45">
        <f>349149.77+599000</f>
        <v>948149.77</v>
      </c>
      <c r="V49" s="27">
        <f t="shared" si="11"/>
        <v>0.75812690005525463</v>
      </c>
      <c r="W49" s="24">
        <f>349149.77+599000</f>
        <v>948149.77</v>
      </c>
      <c r="X49" s="27">
        <f t="shared" si="12"/>
        <v>0.75812690005525463</v>
      </c>
      <c r="Y49" s="5"/>
      <c r="Z49" s="5"/>
      <c r="AA49" s="5"/>
    </row>
    <row r="50" spans="1:27" ht="45" x14ac:dyDescent="0.2">
      <c r="A50" s="21" t="s">
        <v>84</v>
      </c>
      <c r="B50" s="32" t="s">
        <v>85</v>
      </c>
      <c r="C50" s="32" t="s">
        <v>47</v>
      </c>
      <c r="D50" s="32" t="s">
        <v>48</v>
      </c>
      <c r="E50" s="32" t="s">
        <v>87</v>
      </c>
      <c r="F50" s="32" t="s">
        <v>99</v>
      </c>
      <c r="G50" s="32" t="s">
        <v>51</v>
      </c>
      <c r="H50" s="32" t="s">
        <v>158</v>
      </c>
      <c r="I50" s="32" t="s">
        <v>156</v>
      </c>
      <c r="J50" s="107">
        <v>3</v>
      </c>
      <c r="K50" s="33">
        <v>0</v>
      </c>
      <c r="L50" s="34">
        <f>17942209.86-L51</f>
        <v>17277368.859999999</v>
      </c>
      <c r="M50" s="34">
        <v>0</v>
      </c>
      <c r="N50" s="35">
        <f t="shared" si="8"/>
        <v>17277368.859999999</v>
      </c>
      <c r="O50" s="35"/>
      <c r="P50" s="35"/>
      <c r="Q50" s="35"/>
      <c r="R50" s="35">
        <f t="shared" si="9"/>
        <v>17277368.859999999</v>
      </c>
      <c r="S50" s="34">
        <f>13735874.18-S51</f>
        <v>13102747.18</v>
      </c>
      <c r="T50" s="37">
        <f t="shared" si="10"/>
        <v>0.75837630637932685</v>
      </c>
      <c r="U50" s="54">
        <f>2082769.41-U51</f>
        <v>1856030.41</v>
      </c>
      <c r="V50" s="37">
        <f t="shared" si="11"/>
        <v>0.1074255243978162</v>
      </c>
      <c r="W50" s="34">
        <f>2010649.61-W51</f>
        <v>1783910.61</v>
      </c>
      <c r="X50" s="37">
        <f t="shared" si="12"/>
        <v>0.1032512892706743</v>
      </c>
      <c r="Y50" s="5"/>
      <c r="Z50" s="5"/>
      <c r="AA50" s="5"/>
    </row>
    <row r="51" spans="1:27" ht="54" customHeight="1" x14ac:dyDescent="0.2">
      <c r="A51" s="21" t="s">
        <v>84</v>
      </c>
      <c r="B51" s="32" t="s">
        <v>85</v>
      </c>
      <c r="C51" s="32" t="s">
        <v>47</v>
      </c>
      <c r="D51" s="32" t="s">
        <v>48</v>
      </c>
      <c r="E51" s="32" t="s">
        <v>87</v>
      </c>
      <c r="F51" s="32" t="s">
        <v>99</v>
      </c>
      <c r="G51" s="32" t="s">
        <v>51</v>
      </c>
      <c r="H51" s="32" t="s">
        <v>158</v>
      </c>
      <c r="I51" s="32" t="s">
        <v>156</v>
      </c>
      <c r="J51" s="43">
        <v>4</v>
      </c>
      <c r="K51" s="33">
        <v>0</v>
      </c>
      <c r="L51" s="34">
        <f>664841</f>
        <v>664841</v>
      </c>
      <c r="M51" s="34">
        <v>0</v>
      </c>
      <c r="N51" s="35">
        <f t="shared" si="8"/>
        <v>664841</v>
      </c>
      <c r="O51" s="35"/>
      <c r="P51" s="35"/>
      <c r="Q51" s="35"/>
      <c r="R51" s="35">
        <f t="shared" si="9"/>
        <v>664841</v>
      </c>
      <c r="S51" s="34">
        <f>295037+204700+32550+100840</f>
        <v>633127</v>
      </c>
      <c r="T51" s="37">
        <f t="shared" si="10"/>
        <v>0.95229836908373577</v>
      </c>
      <c r="U51" s="45">
        <f>93349+32550+100840</f>
        <v>226739</v>
      </c>
      <c r="V51" s="37">
        <f t="shared" si="11"/>
        <v>0.34104244473490652</v>
      </c>
      <c r="W51" s="34">
        <f>93349+32550+100840</f>
        <v>226739</v>
      </c>
      <c r="X51" s="37">
        <f t="shared" si="12"/>
        <v>0.34104244473490652</v>
      </c>
      <c r="Y51" s="5"/>
      <c r="Z51" s="5"/>
      <c r="AA51" s="5"/>
    </row>
    <row r="52" spans="1:27" ht="54" customHeight="1" x14ac:dyDescent="0.2">
      <c r="A52" s="21" t="s">
        <v>84</v>
      </c>
      <c r="B52" s="32" t="s">
        <v>85</v>
      </c>
      <c r="C52" s="32" t="s">
        <v>47</v>
      </c>
      <c r="D52" s="32" t="s">
        <v>54</v>
      </c>
      <c r="E52" s="32" t="s">
        <v>87</v>
      </c>
      <c r="F52" s="32" t="s">
        <v>100</v>
      </c>
      <c r="G52" s="32" t="s">
        <v>51</v>
      </c>
      <c r="H52" s="32" t="s">
        <v>145</v>
      </c>
      <c r="I52" s="32" t="s">
        <v>156</v>
      </c>
      <c r="J52" s="107">
        <v>3</v>
      </c>
      <c r="K52" s="33">
        <v>65000</v>
      </c>
      <c r="L52" s="34">
        <v>0</v>
      </c>
      <c r="M52" s="34">
        <v>52874.8</v>
      </c>
      <c r="N52" s="35">
        <f t="shared" si="8"/>
        <v>12125.199999999997</v>
      </c>
      <c r="O52" s="35"/>
      <c r="P52" s="35"/>
      <c r="Q52" s="35"/>
      <c r="R52" s="35">
        <f t="shared" si="9"/>
        <v>12125.199999999997</v>
      </c>
      <c r="S52" s="34">
        <v>0</v>
      </c>
      <c r="T52" s="37">
        <f t="shared" si="10"/>
        <v>0</v>
      </c>
      <c r="U52" s="54">
        <v>0</v>
      </c>
      <c r="V52" s="37">
        <f t="shared" si="11"/>
        <v>0</v>
      </c>
      <c r="W52" s="34">
        <v>0</v>
      </c>
      <c r="X52" s="37">
        <f t="shared" si="12"/>
        <v>0</v>
      </c>
      <c r="Y52" s="5"/>
      <c r="Z52" s="5"/>
      <c r="AA52" s="5"/>
    </row>
    <row r="53" spans="1:27" ht="45" x14ac:dyDescent="0.2">
      <c r="A53" s="21" t="s">
        <v>84</v>
      </c>
      <c r="B53" s="32" t="s">
        <v>85</v>
      </c>
      <c r="C53" s="32" t="s">
        <v>47</v>
      </c>
      <c r="D53" s="32" t="s">
        <v>54</v>
      </c>
      <c r="E53" s="32" t="s">
        <v>87</v>
      </c>
      <c r="F53" s="32" t="s">
        <v>100</v>
      </c>
      <c r="G53" s="32" t="s">
        <v>51</v>
      </c>
      <c r="H53" s="32" t="s">
        <v>158</v>
      </c>
      <c r="I53" s="32" t="s">
        <v>156</v>
      </c>
      <c r="J53" s="107">
        <v>3</v>
      </c>
      <c r="K53" s="33">
        <v>0</v>
      </c>
      <c r="L53" s="34">
        <v>6600000</v>
      </c>
      <c r="M53" s="34">
        <v>0</v>
      </c>
      <c r="N53" s="35">
        <f t="shared" si="8"/>
        <v>6600000</v>
      </c>
      <c r="O53" s="35"/>
      <c r="P53" s="35"/>
      <c r="Q53" s="35"/>
      <c r="R53" s="35">
        <f t="shared" si="9"/>
        <v>6600000</v>
      </c>
      <c r="S53" s="36">
        <v>5458570.29</v>
      </c>
      <c r="T53" s="37">
        <f t="shared" si="10"/>
        <v>0.82705610454545453</v>
      </c>
      <c r="U53" s="54">
        <v>5458570.29</v>
      </c>
      <c r="V53" s="37">
        <f t="shared" si="11"/>
        <v>0.82705610454545453</v>
      </c>
      <c r="W53" s="34">
        <v>4498422.47</v>
      </c>
      <c r="X53" s="37">
        <f t="shared" si="12"/>
        <v>0.68157916212121206</v>
      </c>
      <c r="Y53" s="5"/>
      <c r="Z53" s="5"/>
      <c r="AA53" s="5"/>
    </row>
    <row r="54" spans="1:27" ht="63" x14ac:dyDescent="0.2">
      <c r="A54" s="21" t="s">
        <v>84</v>
      </c>
      <c r="B54" s="32" t="s">
        <v>85</v>
      </c>
      <c r="C54" s="32" t="s">
        <v>47</v>
      </c>
      <c r="D54" s="32" t="s">
        <v>102</v>
      </c>
      <c r="E54" s="32" t="s">
        <v>62</v>
      </c>
      <c r="F54" s="32" t="s">
        <v>103</v>
      </c>
      <c r="G54" s="32" t="s">
        <v>51</v>
      </c>
      <c r="H54" s="32" t="s">
        <v>145</v>
      </c>
      <c r="I54" s="32" t="s">
        <v>156</v>
      </c>
      <c r="J54" s="43">
        <v>4</v>
      </c>
      <c r="K54" s="33">
        <v>5000000</v>
      </c>
      <c r="L54" s="34">
        <v>0</v>
      </c>
      <c r="M54" s="34">
        <v>5000000</v>
      </c>
      <c r="N54" s="35">
        <f t="shared" si="8"/>
        <v>0</v>
      </c>
      <c r="O54" s="35"/>
      <c r="P54" s="35"/>
      <c r="Q54" s="35"/>
      <c r="R54" s="35">
        <f t="shared" si="9"/>
        <v>0</v>
      </c>
      <c r="S54" s="36">
        <v>0</v>
      </c>
      <c r="T54" s="37">
        <f t="shared" si="10"/>
        <v>0</v>
      </c>
      <c r="U54" s="45">
        <v>0</v>
      </c>
      <c r="V54" s="37">
        <f t="shared" si="11"/>
        <v>0</v>
      </c>
      <c r="W54" s="34">
        <v>0</v>
      </c>
      <c r="X54" s="37">
        <f t="shared" si="12"/>
        <v>0</v>
      </c>
      <c r="Y54" s="5"/>
      <c r="Z54" s="5"/>
      <c r="AA54" s="5"/>
    </row>
    <row r="55" spans="1:27" ht="63" x14ac:dyDescent="0.2">
      <c r="A55" s="21" t="s">
        <v>84</v>
      </c>
      <c r="B55" s="32" t="s">
        <v>85</v>
      </c>
      <c r="C55" s="32" t="s">
        <v>47</v>
      </c>
      <c r="D55" s="32" t="s">
        <v>150</v>
      </c>
      <c r="E55" s="32" t="s">
        <v>62</v>
      </c>
      <c r="F55" s="32" t="s">
        <v>103</v>
      </c>
      <c r="G55" s="32" t="s">
        <v>51</v>
      </c>
      <c r="H55" s="32" t="s">
        <v>158</v>
      </c>
      <c r="I55" s="32" t="s">
        <v>156</v>
      </c>
      <c r="J55" s="43">
        <v>4</v>
      </c>
      <c r="K55" s="33">
        <v>0</v>
      </c>
      <c r="L55" s="34">
        <v>6700000</v>
      </c>
      <c r="M55" s="34">
        <v>0</v>
      </c>
      <c r="N55" s="35">
        <f t="shared" si="8"/>
        <v>6700000</v>
      </c>
      <c r="O55" s="35"/>
      <c r="P55" s="35"/>
      <c r="Q55" s="35"/>
      <c r="R55" s="35">
        <f t="shared" si="9"/>
        <v>6700000</v>
      </c>
      <c r="S55" s="36">
        <v>6682415.0300000003</v>
      </c>
      <c r="T55" s="37">
        <f t="shared" si="10"/>
        <v>0.99737537761194028</v>
      </c>
      <c r="U55" s="45">
        <v>0</v>
      </c>
      <c r="V55" s="37">
        <f t="shared" si="11"/>
        <v>0</v>
      </c>
      <c r="W55" s="34">
        <v>0</v>
      </c>
      <c r="X55" s="37">
        <f t="shared" si="12"/>
        <v>0</v>
      </c>
      <c r="Y55" s="5"/>
      <c r="Z55" s="5"/>
      <c r="AA55" s="5"/>
    </row>
    <row r="56" spans="1:27" ht="63" x14ac:dyDescent="0.2">
      <c r="A56" s="21" t="s">
        <v>84</v>
      </c>
      <c r="B56" s="32" t="s">
        <v>85</v>
      </c>
      <c r="C56" s="32" t="s">
        <v>47</v>
      </c>
      <c r="D56" s="32" t="s">
        <v>104</v>
      </c>
      <c r="E56" s="32" t="s">
        <v>62</v>
      </c>
      <c r="F56" s="32" t="s">
        <v>105</v>
      </c>
      <c r="G56" s="32" t="s">
        <v>51</v>
      </c>
      <c r="H56" s="32" t="s">
        <v>145</v>
      </c>
      <c r="I56" s="32" t="s">
        <v>156</v>
      </c>
      <c r="J56" s="43">
        <v>4</v>
      </c>
      <c r="K56" s="33">
        <v>100000</v>
      </c>
      <c r="L56" s="34">
        <v>0</v>
      </c>
      <c r="M56" s="34">
        <v>0</v>
      </c>
      <c r="N56" s="35">
        <f t="shared" si="8"/>
        <v>100000</v>
      </c>
      <c r="O56" s="35"/>
      <c r="P56" s="35"/>
      <c r="Q56" s="35"/>
      <c r="R56" s="35">
        <f t="shared" si="9"/>
        <v>100000</v>
      </c>
      <c r="S56" s="36">
        <v>0</v>
      </c>
      <c r="T56" s="37">
        <f t="shared" si="10"/>
        <v>0</v>
      </c>
      <c r="U56" s="45">
        <v>0</v>
      </c>
      <c r="V56" s="37">
        <f t="shared" si="11"/>
        <v>0</v>
      </c>
      <c r="W56" s="34">
        <v>0</v>
      </c>
      <c r="X56" s="37">
        <f t="shared" si="12"/>
        <v>0</v>
      </c>
      <c r="Y56" s="5"/>
      <c r="Z56" s="5"/>
      <c r="AA56" s="5"/>
    </row>
    <row r="57" spans="1:27" ht="54" hidden="1" customHeight="1" x14ac:dyDescent="0.2">
      <c r="A57" s="21" t="s">
        <v>84</v>
      </c>
      <c r="B57" s="32" t="s">
        <v>85</v>
      </c>
      <c r="C57" s="32" t="s">
        <v>47</v>
      </c>
      <c r="D57" s="32" t="s">
        <v>106</v>
      </c>
      <c r="E57" s="32" t="s">
        <v>62</v>
      </c>
      <c r="F57" s="32" t="s">
        <v>107</v>
      </c>
      <c r="G57" s="32" t="s">
        <v>51</v>
      </c>
      <c r="H57" s="32" t="s">
        <v>91</v>
      </c>
      <c r="I57" s="32" t="s">
        <v>156</v>
      </c>
      <c r="J57" s="23">
        <v>3</v>
      </c>
      <c r="K57" s="33"/>
      <c r="L57" s="34"/>
      <c r="M57" s="34"/>
      <c r="N57" s="35">
        <f t="shared" si="8"/>
        <v>0</v>
      </c>
      <c r="O57" s="35"/>
      <c r="P57" s="35"/>
      <c r="Q57" s="35"/>
      <c r="R57" s="35">
        <f t="shared" si="9"/>
        <v>0</v>
      </c>
      <c r="S57" s="36"/>
      <c r="T57" s="37">
        <f t="shared" si="10"/>
        <v>0</v>
      </c>
      <c r="U57" s="28"/>
      <c r="V57" s="37">
        <f t="shared" si="11"/>
        <v>0</v>
      </c>
      <c r="W57" s="34"/>
      <c r="X57" s="37">
        <f t="shared" si="12"/>
        <v>0</v>
      </c>
      <c r="Y57" s="5"/>
      <c r="Z57" s="5"/>
      <c r="AA57" s="5"/>
    </row>
    <row r="58" spans="1:27" ht="63" x14ac:dyDescent="0.2">
      <c r="A58" s="21" t="s">
        <v>84</v>
      </c>
      <c r="B58" s="32" t="s">
        <v>85</v>
      </c>
      <c r="C58" s="32" t="s">
        <v>47</v>
      </c>
      <c r="D58" s="32" t="s">
        <v>108</v>
      </c>
      <c r="E58" s="32" t="s">
        <v>62</v>
      </c>
      <c r="F58" s="32" t="s">
        <v>107</v>
      </c>
      <c r="G58" s="32" t="s">
        <v>51</v>
      </c>
      <c r="H58" s="32" t="s">
        <v>145</v>
      </c>
      <c r="I58" s="32" t="s">
        <v>156</v>
      </c>
      <c r="J58" s="43">
        <v>4</v>
      </c>
      <c r="K58" s="33">
        <v>280000</v>
      </c>
      <c r="L58" s="34">
        <v>0</v>
      </c>
      <c r="M58" s="34">
        <v>49950</v>
      </c>
      <c r="N58" s="35">
        <f t="shared" si="8"/>
        <v>230050</v>
      </c>
      <c r="O58" s="35"/>
      <c r="P58" s="35"/>
      <c r="Q58" s="35"/>
      <c r="R58" s="35">
        <f t="shared" si="9"/>
        <v>230050</v>
      </c>
      <c r="S58" s="36">
        <v>0</v>
      </c>
      <c r="T58" s="37">
        <f t="shared" si="10"/>
        <v>0</v>
      </c>
      <c r="U58" s="45">
        <v>0</v>
      </c>
      <c r="V58" s="37">
        <f t="shared" si="11"/>
        <v>0</v>
      </c>
      <c r="W58" s="34">
        <v>0</v>
      </c>
      <c r="X58" s="37">
        <f t="shared" si="12"/>
        <v>0</v>
      </c>
      <c r="Y58" s="5"/>
      <c r="Z58" s="5"/>
      <c r="AA58" s="5"/>
    </row>
    <row r="59" spans="1:27" ht="63" x14ac:dyDescent="0.2">
      <c r="A59" s="21" t="s">
        <v>84</v>
      </c>
      <c r="B59" s="32" t="s">
        <v>85</v>
      </c>
      <c r="C59" s="32" t="s">
        <v>47</v>
      </c>
      <c r="D59" s="32" t="s">
        <v>106</v>
      </c>
      <c r="E59" s="32" t="s">
        <v>62</v>
      </c>
      <c r="F59" s="32" t="s">
        <v>107</v>
      </c>
      <c r="G59" s="32" t="s">
        <v>51</v>
      </c>
      <c r="H59" s="32" t="s">
        <v>145</v>
      </c>
      <c r="I59" s="32" t="s">
        <v>156</v>
      </c>
      <c r="J59" s="43">
        <v>4</v>
      </c>
      <c r="K59" s="33">
        <v>0</v>
      </c>
      <c r="L59" s="34">
        <v>49950</v>
      </c>
      <c r="M59" s="34">
        <v>0</v>
      </c>
      <c r="N59" s="35">
        <f t="shared" si="8"/>
        <v>49950</v>
      </c>
      <c r="O59" s="35"/>
      <c r="P59" s="35"/>
      <c r="Q59" s="35"/>
      <c r="R59" s="35">
        <f t="shared" si="9"/>
        <v>49950</v>
      </c>
      <c r="S59" s="36">
        <v>49950</v>
      </c>
      <c r="T59" s="37">
        <f t="shared" si="10"/>
        <v>1</v>
      </c>
      <c r="U59" s="45">
        <v>49950</v>
      </c>
      <c r="V59" s="37">
        <f t="shared" si="11"/>
        <v>1</v>
      </c>
      <c r="W59" s="34">
        <v>49950</v>
      </c>
      <c r="X59" s="37">
        <f t="shared" si="12"/>
        <v>1</v>
      </c>
      <c r="Y59" s="5"/>
      <c r="Z59" s="5"/>
      <c r="AA59" s="5"/>
    </row>
    <row r="60" spans="1:27" ht="63" x14ac:dyDescent="0.2">
      <c r="A60" s="21" t="s">
        <v>84</v>
      </c>
      <c r="B60" s="32" t="s">
        <v>85</v>
      </c>
      <c r="C60" s="32" t="s">
        <v>47</v>
      </c>
      <c r="D60" s="32" t="s">
        <v>58</v>
      </c>
      <c r="E60" s="32" t="s">
        <v>62</v>
      </c>
      <c r="F60" s="32" t="s">
        <v>59</v>
      </c>
      <c r="G60" s="32" t="s">
        <v>51</v>
      </c>
      <c r="H60" s="32" t="s">
        <v>148</v>
      </c>
      <c r="I60" s="32" t="s">
        <v>159</v>
      </c>
      <c r="J60" s="107">
        <v>3</v>
      </c>
      <c r="K60" s="33">
        <v>400000</v>
      </c>
      <c r="L60" s="34">
        <v>65776</v>
      </c>
      <c r="M60" s="34">
        <v>65776</v>
      </c>
      <c r="N60" s="35">
        <f t="shared" si="8"/>
        <v>400000</v>
      </c>
      <c r="O60" s="35"/>
      <c r="P60" s="35"/>
      <c r="Q60" s="35"/>
      <c r="R60" s="35">
        <f t="shared" si="9"/>
        <v>400000</v>
      </c>
      <c r="S60" s="36">
        <v>359465.18</v>
      </c>
      <c r="T60" s="37">
        <f t="shared" si="10"/>
        <v>0.89866294999999996</v>
      </c>
      <c r="U60" s="54">
        <v>246996.38</v>
      </c>
      <c r="V60" s="37">
        <f t="shared" si="11"/>
        <v>0.61749094999999998</v>
      </c>
      <c r="W60" s="34">
        <v>245532.28</v>
      </c>
      <c r="X60" s="37">
        <f t="shared" si="12"/>
        <v>0.61383069999999995</v>
      </c>
      <c r="Y60" s="5"/>
      <c r="Z60" s="5"/>
      <c r="AA60" s="5"/>
    </row>
    <row r="61" spans="1:27" ht="63" x14ac:dyDescent="0.2">
      <c r="A61" s="21" t="s">
        <v>84</v>
      </c>
      <c r="B61" s="32" t="s">
        <v>85</v>
      </c>
      <c r="C61" s="32" t="s">
        <v>47</v>
      </c>
      <c r="D61" s="32" t="s">
        <v>58</v>
      </c>
      <c r="E61" s="32" t="s">
        <v>62</v>
      </c>
      <c r="F61" s="32" t="s">
        <v>59</v>
      </c>
      <c r="G61" s="32" t="s">
        <v>51</v>
      </c>
      <c r="H61" s="32" t="s">
        <v>160</v>
      </c>
      <c r="I61" s="32" t="s">
        <v>159</v>
      </c>
      <c r="J61" s="107">
        <v>3</v>
      </c>
      <c r="K61" s="33">
        <v>0</v>
      </c>
      <c r="L61" s="34">
        <v>2302932.66</v>
      </c>
      <c r="M61" s="34">
        <v>20177.95</v>
      </c>
      <c r="N61" s="35">
        <f t="shared" si="8"/>
        <v>2282754.71</v>
      </c>
      <c r="O61" s="35"/>
      <c r="P61" s="35"/>
      <c r="Q61" s="35"/>
      <c r="R61" s="35">
        <f t="shared" si="9"/>
        <v>2282754.71</v>
      </c>
      <c r="S61" s="36">
        <v>77500</v>
      </c>
      <c r="T61" s="37">
        <f t="shared" si="10"/>
        <v>3.3950209218930931E-2</v>
      </c>
      <c r="U61" s="54">
        <v>21080</v>
      </c>
      <c r="V61" s="37">
        <f t="shared" si="11"/>
        <v>9.2344569075492131E-3</v>
      </c>
      <c r="W61" s="34">
        <v>20684</v>
      </c>
      <c r="X61" s="37">
        <f t="shared" si="12"/>
        <v>9.0609822901208687E-3</v>
      </c>
      <c r="Y61" s="5"/>
      <c r="Z61" s="5"/>
      <c r="AA61" s="5"/>
    </row>
    <row r="62" spans="1:27" ht="63" x14ac:dyDescent="0.2">
      <c r="A62" s="21" t="s">
        <v>84</v>
      </c>
      <c r="B62" s="32" t="s">
        <v>85</v>
      </c>
      <c r="C62" s="32" t="s">
        <v>47</v>
      </c>
      <c r="D62" s="32" t="s">
        <v>61</v>
      </c>
      <c r="E62" s="32" t="s">
        <v>62</v>
      </c>
      <c r="F62" s="32" t="s">
        <v>63</v>
      </c>
      <c r="G62" s="32" t="s">
        <v>51</v>
      </c>
      <c r="H62" s="32" t="s">
        <v>145</v>
      </c>
      <c r="I62" s="32" t="s">
        <v>156</v>
      </c>
      <c r="J62" s="107">
        <v>3</v>
      </c>
      <c r="K62" s="33">
        <v>20000</v>
      </c>
      <c r="L62" s="24">
        <v>0</v>
      </c>
      <c r="M62" s="24">
        <v>0</v>
      </c>
      <c r="N62" s="25">
        <f t="shared" si="8"/>
        <v>20000</v>
      </c>
      <c r="O62" s="25"/>
      <c r="P62" s="25"/>
      <c r="Q62" s="25"/>
      <c r="R62" s="25">
        <f t="shared" si="9"/>
        <v>20000</v>
      </c>
      <c r="S62" s="36">
        <v>9864.94</v>
      </c>
      <c r="T62" s="27">
        <f t="shared" si="10"/>
        <v>0.49324700000000005</v>
      </c>
      <c r="U62" s="54">
        <v>9864.94</v>
      </c>
      <c r="V62" s="27">
        <f t="shared" si="11"/>
        <v>0.49324700000000005</v>
      </c>
      <c r="W62" s="24">
        <v>9864.94</v>
      </c>
      <c r="X62" s="27">
        <f t="shared" si="12"/>
        <v>0.49324700000000005</v>
      </c>
      <c r="Y62" s="5"/>
      <c r="Z62" s="5"/>
      <c r="AA62" s="5"/>
    </row>
    <row r="63" spans="1:27" ht="63" x14ac:dyDescent="0.2">
      <c r="A63" s="21" t="s">
        <v>84</v>
      </c>
      <c r="B63" s="32" t="s">
        <v>85</v>
      </c>
      <c r="C63" s="32" t="s">
        <v>47</v>
      </c>
      <c r="D63" s="32" t="s">
        <v>61</v>
      </c>
      <c r="E63" s="32" t="s">
        <v>62</v>
      </c>
      <c r="F63" s="32" t="s">
        <v>63</v>
      </c>
      <c r="G63" s="32" t="s">
        <v>51</v>
      </c>
      <c r="H63" s="32" t="s">
        <v>158</v>
      </c>
      <c r="I63" s="32" t="s">
        <v>156</v>
      </c>
      <c r="J63" s="107">
        <v>3</v>
      </c>
      <c r="K63" s="33">
        <v>0</v>
      </c>
      <c r="L63" s="34">
        <v>565000</v>
      </c>
      <c r="M63" s="34">
        <v>0</v>
      </c>
      <c r="N63" s="35">
        <f t="shared" si="8"/>
        <v>565000</v>
      </c>
      <c r="O63" s="35"/>
      <c r="P63" s="35"/>
      <c r="Q63" s="35"/>
      <c r="R63" s="35">
        <f t="shared" si="9"/>
        <v>565000</v>
      </c>
      <c r="S63" s="36">
        <v>348414.1</v>
      </c>
      <c r="T63" s="37">
        <f t="shared" si="10"/>
        <v>0.61666212389380526</v>
      </c>
      <c r="U63" s="54">
        <v>348414.1</v>
      </c>
      <c r="V63" s="37">
        <f t="shared" si="11"/>
        <v>0.61666212389380526</v>
      </c>
      <c r="W63" s="34">
        <v>287882.14</v>
      </c>
      <c r="X63" s="37">
        <f t="shared" si="12"/>
        <v>0.50952591150442483</v>
      </c>
      <c r="Y63" s="5"/>
      <c r="Z63" s="5"/>
      <c r="AA63" s="5"/>
    </row>
    <row r="64" spans="1:27" ht="63" x14ac:dyDescent="0.2">
      <c r="A64" s="21" t="s">
        <v>84</v>
      </c>
      <c r="B64" s="32" t="s">
        <v>85</v>
      </c>
      <c r="C64" s="32" t="s">
        <v>47</v>
      </c>
      <c r="D64" s="32" t="s">
        <v>110</v>
      </c>
      <c r="E64" s="32" t="s">
        <v>62</v>
      </c>
      <c r="F64" s="32" t="s">
        <v>111</v>
      </c>
      <c r="G64" s="32" t="s">
        <v>51</v>
      </c>
      <c r="H64" s="32" t="s">
        <v>145</v>
      </c>
      <c r="I64" s="32" t="s">
        <v>156</v>
      </c>
      <c r="J64" s="107">
        <v>3</v>
      </c>
      <c r="K64" s="33">
        <f>38480000-K65</f>
        <v>37980000</v>
      </c>
      <c r="L64" s="24">
        <v>4939713.9800000004</v>
      </c>
      <c r="M64" s="24">
        <v>6074516.29</v>
      </c>
      <c r="N64" s="25">
        <f t="shared" si="8"/>
        <v>36845197.690000005</v>
      </c>
      <c r="O64" s="25"/>
      <c r="P64" s="25"/>
      <c r="Q64" s="25"/>
      <c r="R64" s="25">
        <f t="shared" si="9"/>
        <v>36845197.690000005</v>
      </c>
      <c r="S64" s="24">
        <f>33088132.64-S65</f>
        <v>32681151.850000001</v>
      </c>
      <c r="T64" s="27">
        <f t="shared" si="10"/>
        <v>0.88698538477023425</v>
      </c>
      <c r="U64" s="54">
        <f>19472212.07-U65</f>
        <v>19081161.280000001</v>
      </c>
      <c r="V64" s="27">
        <f t="shared" si="11"/>
        <v>0.51787376581721356</v>
      </c>
      <c r="W64" s="24">
        <f>19376454.98-W65</f>
        <v>18985404.190000001</v>
      </c>
      <c r="X64" s="27">
        <f t="shared" si="12"/>
        <v>0.51527486294781766</v>
      </c>
      <c r="Y64" s="5"/>
      <c r="Z64" s="5"/>
      <c r="AA64" s="5"/>
    </row>
    <row r="65" spans="1:27" ht="63" x14ac:dyDescent="0.2">
      <c r="A65" s="21" t="s">
        <v>84</v>
      </c>
      <c r="B65" s="32" t="s">
        <v>85</v>
      </c>
      <c r="C65" s="32" t="s">
        <v>47</v>
      </c>
      <c r="D65" s="32" t="s">
        <v>110</v>
      </c>
      <c r="E65" s="32" t="s">
        <v>62</v>
      </c>
      <c r="F65" s="32" t="s">
        <v>111</v>
      </c>
      <c r="G65" s="32" t="s">
        <v>51</v>
      </c>
      <c r="H65" s="32" t="s">
        <v>145</v>
      </c>
      <c r="I65" s="32" t="s">
        <v>156</v>
      </c>
      <c r="J65" s="43">
        <v>4</v>
      </c>
      <c r="K65" s="33">
        <f>500000</f>
        <v>500000</v>
      </c>
      <c r="L65" s="24">
        <v>0</v>
      </c>
      <c r="M65" s="24">
        <v>0</v>
      </c>
      <c r="N65" s="25">
        <f t="shared" si="8"/>
        <v>500000</v>
      </c>
      <c r="O65" s="25"/>
      <c r="P65" s="25"/>
      <c r="Q65" s="25"/>
      <c r="R65" s="25">
        <f t="shared" si="9"/>
        <v>500000</v>
      </c>
      <c r="S65" s="24">
        <f>10872+86670.4+4280+14830+18597+37200+13216+85093.5+127121.89+9100</f>
        <v>406980.79000000004</v>
      </c>
      <c r="T65" s="27">
        <f t="shared" si="10"/>
        <v>0.81396158000000007</v>
      </c>
      <c r="U65" s="45">
        <f>10872+86670.4+14830+16047+37200+13216+85093.5+127121.89</f>
        <v>391050.79000000004</v>
      </c>
      <c r="V65" s="27">
        <f t="shared" si="11"/>
        <v>0.78210158000000007</v>
      </c>
      <c r="W65" s="24">
        <f>10872+86670.4+14830+16047+37200+13216+85093.5+127121.89</f>
        <v>391050.79000000004</v>
      </c>
      <c r="X65" s="27">
        <f t="shared" si="12"/>
        <v>0.78210158000000007</v>
      </c>
      <c r="Y65" s="5"/>
      <c r="Z65" s="5"/>
      <c r="AA65" s="5"/>
    </row>
    <row r="66" spans="1:27" ht="63" x14ac:dyDescent="0.2">
      <c r="A66" s="21" t="s">
        <v>84</v>
      </c>
      <c r="B66" s="32" t="s">
        <v>85</v>
      </c>
      <c r="C66" s="32" t="s">
        <v>47</v>
      </c>
      <c r="D66" s="32" t="s">
        <v>110</v>
      </c>
      <c r="E66" s="32" t="s">
        <v>62</v>
      </c>
      <c r="F66" s="32" t="s">
        <v>111</v>
      </c>
      <c r="G66" s="32" t="s">
        <v>51</v>
      </c>
      <c r="H66" s="32" t="s">
        <v>158</v>
      </c>
      <c r="I66" s="32" t="s">
        <v>156</v>
      </c>
      <c r="J66" s="107">
        <v>3</v>
      </c>
      <c r="K66" s="33">
        <v>0</v>
      </c>
      <c r="L66" s="24">
        <f>5598784.56-L67</f>
        <v>5314017.5599999996</v>
      </c>
      <c r="M66" s="24">
        <f>150000</f>
        <v>150000</v>
      </c>
      <c r="N66" s="25">
        <f t="shared" si="8"/>
        <v>5164017.5599999996</v>
      </c>
      <c r="O66" s="25"/>
      <c r="P66" s="25"/>
      <c r="Q66" s="25"/>
      <c r="R66" s="25">
        <f t="shared" si="9"/>
        <v>5164017.5599999996</v>
      </c>
      <c r="S66" s="34">
        <f>2200626.81-S67</f>
        <v>1996859.81</v>
      </c>
      <c r="T66" s="27">
        <f t="shared" si="10"/>
        <v>0.38668726176833529</v>
      </c>
      <c r="U66" s="54">
        <v>696750.99</v>
      </c>
      <c r="V66" s="27">
        <f t="shared" si="11"/>
        <v>0.13492421005632677</v>
      </c>
      <c r="W66" s="24">
        <v>676591.71</v>
      </c>
      <c r="X66" s="27">
        <f t="shared" si="12"/>
        <v>0.13102041233182793</v>
      </c>
      <c r="Y66" s="5"/>
      <c r="Z66" s="5"/>
      <c r="AA66" s="5"/>
    </row>
    <row r="67" spans="1:27" ht="63" x14ac:dyDescent="0.2">
      <c r="A67" s="21" t="s">
        <v>84</v>
      </c>
      <c r="B67" s="22" t="s">
        <v>85</v>
      </c>
      <c r="C67" s="22" t="s">
        <v>47</v>
      </c>
      <c r="D67" s="32" t="s">
        <v>110</v>
      </c>
      <c r="E67" s="32" t="s">
        <v>62</v>
      </c>
      <c r="F67" s="32" t="s">
        <v>111</v>
      </c>
      <c r="G67" s="22" t="s">
        <v>51</v>
      </c>
      <c r="H67" s="32" t="s">
        <v>158</v>
      </c>
      <c r="I67" s="32" t="s">
        <v>156</v>
      </c>
      <c r="J67" s="43">
        <v>4</v>
      </c>
      <c r="K67" s="33">
        <v>0</v>
      </c>
      <c r="L67" s="24">
        <f>284767</f>
        <v>284767</v>
      </c>
      <c r="M67" s="24">
        <v>0</v>
      </c>
      <c r="N67" s="25">
        <f t="shared" si="8"/>
        <v>284767</v>
      </c>
      <c r="O67" s="25"/>
      <c r="P67" s="25"/>
      <c r="Q67" s="25"/>
      <c r="R67" s="25">
        <f t="shared" si="9"/>
        <v>284767</v>
      </c>
      <c r="S67" s="34">
        <f>165858+37909</f>
        <v>203767</v>
      </c>
      <c r="T67" s="27">
        <f t="shared" si="10"/>
        <v>0.7155569289980932</v>
      </c>
      <c r="U67" s="45">
        <v>0</v>
      </c>
      <c r="V67" s="27">
        <f t="shared" si="11"/>
        <v>0</v>
      </c>
      <c r="W67" s="24">
        <v>0</v>
      </c>
      <c r="X67" s="27">
        <f t="shared" si="12"/>
        <v>0</v>
      </c>
      <c r="Y67" s="5"/>
      <c r="Z67" s="5"/>
      <c r="AA67" s="5"/>
    </row>
    <row r="68" spans="1:27" ht="63" customHeight="1" x14ac:dyDescent="0.2">
      <c r="A68" s="21" t="s">
        <v>84</v>
      </c>
      <c r="B68" s="22" t="s">
        <v>85</v>
      </c>
      <c r="C68" s="22" t="s">
        <v>47</v>
      </c>
      <c r="D68" s="22" t="s">
        <v>110</v>
      </c>
      <c r="E68" s="32" t="s">
        <v>62</v>
      </c>
      <c r="F68" s="32" t="s">
        <v>111</v>
      </c>
      <c r="G68" s="22" t="s">
        <v>51</v>
      </c>
      <c r="H68" s="32" t="s">
        <v>160</v>
      </c>
      <c r="I68" s="32" t="s">
        <v>159</v>
      </c>
      <c r="J68" s="107">
        <v>3</v>
      </c>
      <c r="K68" s="33">
        <v>0</v>
      </c>
      <c r="L68" s="24">
        <v>773.9</v>
      </c>
      <c r="M68" s="24">
        <v>0</v>
      </c>
      <c r="N68" s="25">
        <f t="shared" si="8"/>
        <v>773.9</v>
      </c>
      <c r="O68" s="25"/>
      <c r="P68" s="25"/>
      <c r="Q68" s="25"/>
      <c r="R68" s="25">
        <f t="shared" si="9"/>
        <v>773.9</v>
      </c>
      <c r="S68" s="34">
        <v>0</v>
      </c>
      <c r="T68" s="27">
        <f t="shared" si="10"/>
        <v>0</v>
      </c>
      <c r="U68" s="54">
        <v>0</v>
      </c>
      <c r="V68" s="27">
        <f t="shared" si="11"/>
        <v>0</v>
      </c>
      <c r="W68" s="24">
        <v>0</v>
      </c>
      <c r="X68" s="27">
        <f t="shared" si="12"/>
        <v>0</v>
      </c>
      <c r="Y68" s="5"/>
      <c r="Z68" s="5"/>
      <c r="AA68" s="5"/>
    </row>
    <row r="69" spans="1:27" ht="63" customHeight="1" x14ac:dyDescent="0.2">
      <c r="A69" s="21" t="s">
        <v>84</v>
      </c>
      <c r="B69" s="22" t="s">
        <v>85</v>
      </c>
      <c r="C69" s="22" t="s">
        <v>47</v>
      </c>
      <c r="D69" s="22" t="s">
        <v>113</v>
      </c>
      <c r="E69" s="32" t="s">
        <v>62</v>
      </c>
      <c r="F69" s="22" t="s">
        <v>114</v>
      </c>
      <c r="G69" s="22" t="s">
        <v>51</v>
      </c>
      <c r="H69" s="22" t="s">
        <v>145</v>
      </c>
      <c r="I69" s="32" t="s">
        <v>156</v>
      </c>
      <c r="J69" s="107">
        <v>3</v>
      </c>
      <c r="K69" s="33">
        <v>600000</v>
      </c>
      <c r="L69" s="24">
        <v>8000</v>
      </c>
      <c r="M69" s="24">
        <v>8000</v>
      </c>
      <c r="N69" s="25">
        <f t="shared" si="8"/>
        <v>600000</v>
      </c>
      <c r="O69" s="25"/>
      <c r="P69" s="25"/>
      <c r="Q69" s="25"/>
      <c r="R69" s="25">
        <f t="shared" si="9"/>
        <v>600000</v>
      </c>
      <c r="S69" s="34">
        <v>308812.43</v>
      </c>
      <c r="T69" s="27">
        <f t="shared" si="10"/>
        <v>0.5146873833333333</v>
      </c>
      <c r="U69" s="54">
        <v>308812.43</v>
      </c>
      <c r="V69" s="27">
        <f t="shared" si="11"/>
        <v>0.5146873833333333</v>
      </c>
      <c r="W69" s="24">
        <v>308812.43</v>
      </c>
      <c r="X69" s="27">
        <f t="shared" si="12"/>
        <v>0.5146873833333333</v>
      </c>
      <c r="Y69" s="5"/>
      <c r="Z69" s="5"/>
      <c r="AA69" s="5"/>
    </row>
    <row r="70" spans="1:27" ht="63" customHeight="1" x14ac:dyDescent="0.2">
      <c r="A70" s="21" t="s">
        <v>84</v>
      </c>
      <c r="B70" s="22" t="s">
        <v>85</v>
      </c>
      <c r="C70" s="22" t="s">
        <v>47</v>
      </c>
      <c r="D70" s="22" t="s">
        <v>161</v>
      </c>
      <c r="E70" s="32" t="s">
        <v>62</v>
      </c>
      <c r="F70" s="22" t="s">
        <v>114</v>
      </c>
      <c r="G70" s="22" t="s">
        <v>51</v>
      </c>
      <c r="H70" s="22" t="s">
        <v>158</v>
      </c>
      <c r="I70" s="32" t="s">
        <v>156</v>
      </c>
      <c r="J70" s="107">
        <v>3</v>
      </c>
      <c r="K70" s="33">
        <v>0</v>
      </c>
      <c r="L70" s="24">
        <v>360000</v>
      </c>
      <c r="M70" s="24">
        <v>0</v>
      </c>
      <c r="N70" s="25">
        <f t="shared" si="8"/>
        <v>360000</v>
      </c>
      <c r="O70" s="25"/>
      <c r="P70" s="25"/>
      <c r="Q70" s="25"/>
      <c r="R70" s="25">
        <f t="shared" si="9"/>
        <v>360000</v>
      </c>
      <c r="S70" s="34">
        <v>16628</v>
      </c>
      <c r="T70" s="27">
        <f t="shared" si="10"/>
        <v>4.618888888888889E-2</v>
      </c>
      <c r="U70" s="54">
        <v>16628</v>
      </c>
      <c r="V70" s="27">
        <f t="shared" si="11"/>
        <v>4.618888888888889E-2</v>
      </c>
      <c r="W70" s="24">
        <v>16628</v>
      </c>
      <c r="X70" s="27">
        <f t="shared" si="12"/>
        <v>4.618888888888889E-2</v>
      </c>
      <c r="Y70" s="5"/>
      <c r="Z70" s="5"/>
      <c r="AA70" s="5"/>
    </row>
    <row r="71" spans="1:27" ht="63" customHeight="1" x14ac:dyDescent="0.2">
      <c r="A71" s="21" t="s">
        <v>84</v>
      </c>
      <c r="B71" s="22" t="s">
        <v>85</v>
      </c>
      <c r="C71" s="22" t="s">
        <v>47</v>
      </c>
      <c r="D71" s="22" t="s">
        <v>68</v>
      </c>
      <c r="E71" s="32" t="s">
        <v>62</v>
      </c>
      <c r="F71" s="22" t="s">
        <v>69</v>
      </c>
      <c r="G71" s="22" t="s">
        <v>51</v>
      </c>
      <c r="H71" s="22" t="s">
        <v>145</v>
      </c>
      <c r="I71" s="32" t="s">
        <v>156</v>
      </c>
      <c r="J71" s="107">
        <v>3</v>
      </c>
      <c r="K71" s="33">
        <v>15000</v>
      </c>
      <c r="L71" s="24">
        <v>0</v>
      </c>
      <c r="M71" s="24">
        <v>0</v>
      </c>
      <c r="N71" s="25">
        <f t="shared" si="8"/>
        <v>15000</v>
      </c>
      <c r="O71" s="25"/>
      <c r="P71" s="25"/>
      <c r="Q71" s="25"/>
      <c r="R71" s="25">
        <f t="shared" si="9"/>
        <v>15000</v>
      </c>
      <c r="S71" s="34">
        <v>0</v>
      </c>
      <c r="T71" s="27">
        <f t="shared" si="10"/>
        <v>0</v>
      </c>
      <c r="U71" s="54">
        <v>0</v>
      </c>
      <c r="V71" s="27">
        <f t="shared" si="11"/>
        <v>0</v>
      </c>
      <c r="W71" s="24">
        <v>0</v>
      </c>
      <c r="X71" s="27">
        <f t="shared" si="12"/>
        <v>0</v>
      </c>
      <c r="Y71" s="5"/>
      <c r="Z71" s="5"/>
      <c r="AA71" s="5"/>
    </row>
    <row r="72" spans="1:27" ht="63" customHeight="1" x14ac:dyDescent="0.2">
      <c r="A72" s="21" t="s">
        <v>84</v>
      </c>
      <c r="B72" s="32" t="s">
        <v>85</v>
      </c>
      <c r="C72" s="32" t="s">
        <v>47</v>
      </c>
      <c r="D72" s="32" t="s">
        <v>68</v>
      </c>
      <c r="E72" s="32" t="s">
        <v>62</v>
      </c>
      <c r="F72" s="32" t="s">
        <v>69</v>
      </c>
      <c r="G72" s="32" t="s">
        <v>51</v>
      </c>
      <c r="H72" s="32" t="s">
        <v>158</v>
      </c>
      <c r="I72" s="32" t="s">
        <v>156</v>
      </c>
      <c r="J72" s="107">
        <v>3</v>
      </c>
      <c r="K72" s="33">
        <v>0</v>
      </c>
      <c r="L72" s="34">
        <v>101000</v>
      </c>
      <c r="M72" s="34">
        <v>0</v>
      </c>
      <c r="N72" s="35">
        <f t="shared" si="8"/>
        <v>101000</v>
      </c>
      <c r="O72" s="35"/>
      <c r="P72" s="35"/>
      <c r="Q72" s="35"/>
      <c r="R72" s="35">
        <f t="shared" si="9"/>
        <v>101000</v>
      </c>
      <c r="S72" s="34">
        <v>77816.42</v>
      </c>
      <c r="T72" s="37">
        <f t="shared" si="10"/>
        <v>0.77045960396039603</v>
      </c>
      <c r="U72" s="54">
        <v>77816.42</v>
      </c>
      <c r="V72" s="37">
        <f t="shared" si="11"/>
        <v>0.77045960396039603</v>
      </c>
      <c r="W72" s="34">
        <v>67803.42</v>
      </c>
      <c r="X72" s="37">
        <f t="shared" si="12"/>
        <v>0.67132099009900992</v>
      </c>
      <c r="Y72" s="5"/>
      <c r="Z72" s="5"/>
      <c r="AA72" s="5"/>
    </row>
    <row r="73" spans="1:27" ht="63" customHeight="1" x14ac:dyDescent="0.2">
      <c r="A73" s="21" t="s">
        <v>84</v>
      </c>
      <c r="B73" s="32" t="s">
        <v>85</v>
      </c>
      <c r="C73" s="32" t="s">
        <v>115</v>
      </c>
      <c r="D73" s="32" t="s">
        <v>116</v>
      </c>
      <c r="E73" s="32" t="s">
        <v>87</v>
      </c>
      <c r="F73" s="32" t="s">
        <v>117</v>
      </c>
      <c r="G73" s="32" t="s">
        <v>51</v>
      </c>
      <c r="H73" s="32" t="s">
        <v>145</v>
      </c>
      <c r="I73" s="32" t="s">
        <v>156</v>
      </c>
      <c r="J73" s="107">
        <v>3</v>
      </c>
      <c r="K73" s="33">
        <f>21000000-K74</f>
        <v>20000000</v>
      </c>
      <c r="L73" s="34">
        <f>4839972.77-L74</f>
        <v>1699672.7699999996</v>
      </c>
      <c r="M73" s="34">
        <f>3760972.77-M74</f>
        <v>3234972.77</v>
      </c>
      <c r="N73" s="35">
        <f t="shared" si="8"/>
        <v>18464700</v>
      </c>
      <c r="O73" s="35"/>
      <c r="P73" s="35"/>
      <c r="Q73" s="35"/>
      <c r="R73" s="35">
        <f t="shared" si="9"/>
        <v>18464700</v>
      </c>
      <c r="S73" s="34">
        <f>18908118.06-S74</f>
        <v>15293818.059999999</v>
      </c>
      <c r="T73" s="37">
        <f t="shared" si="10"/>
        <v>0.82827330311350844</v>
      </c>
      <c r="U73" s="54">
        <f>11396084.59-U74</f>
        <v>7781784.5899999999</v>
      </c>
      <c r="V73" s="37">
        <f t="shared" si="11"/>
        <v>0.42144116015965599</v>
      </c>
      <c r="W73" s="34">
        <f>11396084.59-W74</f>
        <v>7781784.5899999999</v>
      </c>
      <c r="X73" s="37">
        <f t="shared" si="12"/>
        <v>0.42144116015965599</v>
      </c>
      <c r="Y73" s="5"/>
      <c r="Z73" s="5"/>
      <c r="AA73" s="5"/>
    </row>
    <row r="74" spans="1:27" ht="63" customHeight="1" x14ac:dyDescent="0.2">
      <c r="A74" s="21" t="s">
        <v>84</v>
      </c>
      <c r="B74" s="22" t="s">
        <v>85</v>
      </c>
      <c r="C74" s="22" t="s">
        <v>115</v>
      </c>
      <c r="D74" s="22" t="s">
        <v>116</v>
      </c>
      <c r="E74" s="32" t="s">
        <v>87</v>
      </c>
      <c r="F74" s="22" t="s">
        <v>117</v>
      </c>
      <c r="G74" s="22" t="s">
        <v>51</v>
      </c>
      <c r="H74" s="22" t="s">
        <v>145</v>
      </c>
      <c r="I74" s="32" t="s">
        <v>156</v>
      </c>
      <c r="J74" s="43">
        <v>4</v>
      </c>
      <c r="K74" s="33">
        <f>1000000</f>
        <v>1000000</v>
      </c>
      <c r="L74" s="24">
        <f>2246300+894000</f>
        <v>3140300</v>
      </c>
      <c r="M74" s="24">
        <f>526000</f>
        <v>526000</v>
      </c>
      <c r="N74" s="25">
        <f t="shared" si="8"/>
        <v>3614300</v>
      </c>
      <c r="O74" s="25"/>
      <c r="P74" s="25"/>
      <c r="Q74" s="25"/>
      <c r="R74" s="25">
        <f t="shared" si="9"/>
        <v>3614300</v>
      </c>
      <c r="S74" s="34">
        <f>2246300+1368000</f>
        <v>3614300</v>
      </c>
      <c r="T74" s="27">
        <f t="shared" si="10"/>
        <v>1</v>
      </c>
      <c r="U74" s="45">
        <f>2246300+1368000</f>
        <v>3614300</v>
      </c>
      <c r="V74" s="27">
        <f t="shared" si="11"/>
        <v>1</v>
      </c>
      <c r="W74" s="24">
        <f>2246300+1368000</f>
        <v>3614300</v>
      </c>
      <c r="X74" s="27">
        <f t="shared" si="12"/>
        <v>1</v>
      </c>
      <c r="Y74" s="5"/>
      <c r="Z74" s="5"/>
      <c r="AA74" s="5"/>
    </row>
    <row r="75" spans="1:27" ht="63" customHeight="1" x14ac:dyDescent="0.2">
      <c r="A75" s="21" t="s">
        <v>84</v>
      </c>
      <c r="B75" s="22" t="s">
        <v>85</v>
      </c>
      <c r="C75" s="22" t="s">
        <v>115</v>
      </c>
      <c r="D75" s="32" t="s">
        <v>116</v>
      </c>
      <c r="E75" s="32" t="s">
        <v>87</v>
      </c>
      <c r="F75" s="22" t="s">
        <v>117</v>
      </c>
      <c r="G75" s="22" t="s">
        <v>51</v>
      </c>
      <c r="H75" s="22" t="s">
        <v>158</v>
      </c>
      <c r="I75" s="32" t="s">
        <v>156</v>
      </c>
      <c r="J75" s="107">
        <v>3</v>
      </c>
      <c r="K75" s="33">
        <v>0</v>
      </c>
      <c r="L75" s="24">
        <f>100000+1260000</f>
        <v>1360000</v>
      </c>
      <c r="M75" s="24">
        <v>0</v>
      </c>
      <c r="N75" s="25">
        <f t="shared" si="8"/>
        <v>1360000</v>
      </c>
      <c r="O75" s="25"/>
      <c r="P75" s="25"/>
      <c r="Q75" s="25"/>
      <c r="R75" s="25">
        <f t="shared" si="9"/>
        <v>1360000</v>
      </c>
      <c r="S75" s="34">
        <f>36188.31</f>
        <v>36188.31</v>
      </c>
      <c r="T75" s="27">
        <f t="shared" si="10"/>
        <v>2.6609051470588233E-2</v>
      </c>
      <c r="U75" s="54">
        <v>36188.31</v>
      </c>
      <c r="V75" s="27">
        <f t="shared" si="11"/>
        <v>2.6609051470588233E-2</v>
      </c>
      <c r="W75" s="24">
        <v>36188.31</v>
      </c>
      <c r="X75" s="27">
        <f t="shared" si="12"/>
        <v>2.6609051470588233E-2</v>
      </c>
      <c r="Y75" s="5"/>
      <c r="Z75" s="5"/>
      <c r="AA75" s="5"/>
    </row>
    <row r="76" spans="1:27" ht="63" customHeight="1" x14ac:dyDescent="0.2">
      <c r="A76" s="21" t="s">
        <v>84</v>
      </c>
      <c r="B76" s="22" t="s">
        <v>85</v>
      </c>
      <c r="C76" s="22" t="s">
        <v>115</v>
      </c>
      <c r="D76" s="32" t="s">
        <v>116</v>
      </c>
      <c r="E76" s="32" t="s">
        <v>87</v>
      </c>
      <c r="F76" s="22" t="s">
        <v>117</v>
      </c>
      <c r="G76" s="22" t="s">
        <v>51</v>
      </c>
      <c r="H76" s="22" t="s">
        <v>158</v>
      </c>
      <c r="I76" s="32" t="s">
        <v>156</v>
      </c>
      <c r="J76" s="43">
        <v>4</v>
      </c>
      <c r="K76" s="33">
        <v>0</v>
      </c>
      <c r="L76" s="24">
        <v>5602050</v>
      </c>
      <c r="M76" s="24">
        <v>0</v>
      </c>
      <c r="N76" s="25">
        <f t="shared" si="8"/>
        <v>5602050</v>
      </c>
      <c r="O76" s="25"/>
      <c r="P76" s="25"/>
      <c r="Q76" s="25"/>
      <c r="R76" s="25">
        <f t="shared" si="9"/>
        <v>5602050</v>
      </c>
      <c r="S76" s="34">
        <v>5585790</v>
      </c>
      <c r="T76" s="27">
        <f t="shared" si="10"/>
        <v>0.99709749109700918</v>
      </c>
      <c r="U76" s="45">
        <v>0</v>
      </c>
      <c r="V76" s="27">
        <f t="shared" si="11"/>
        <v>0</v>
      </c>
      <c r="W76" s="24">
        <v>0</v>
      </c>
      <c r="X76" s="27">
        <f t="shared" si="12"/>
        <v>0</v>
      </c>
      <c r="Y76" s="5"/>
      <c r="Z76" s="5"/>
      <c r="AA76" s="5"/>
    </row>
    <row r="77" spans="1:27" ht="63" customHeight="1" x14ac:dyDescent="0.2">
      <c r="A77" s="21" t="s">
        <v>84</v>
      </c>
      <c r="B77" s="22" t="s">
        <v>85</v>
      </c>
      <c r="C77" s="22" t="s">
        <v>115</v>
      </c>
      <c r="D77" s="22" t="s">
        <v>118</v>
      </c>
      <c r="E77" s="32" t="s">
        <v>62</v>
      </c>
      <c r="F77" s="22" t="s">
        <v>119</v>
      </c>
      <c r="G77" s="22" t="s">
        <v>51</v>
      </c>
      <c r="H77" s="22" t="s">
        <v>145</v>
      </c>
      <c r="I77" s="32" t="s">
        <v>156</v>
      </c>
      <c r="J77" s="107">
        <v>3</v>
      </c>
      <c r="K77" s="33">
        <f>8700000-K78</f>
        <v>8000000</v>
      </c>
      <c r="L77" s="24">
        <v>0</v>
      </c>
      <c r="M77" s="24">
        <f>1590197.24-M78</f>
        <v>1256197.24</v>
      </c>
      <c r="N77" s="25">
        <f t="shared" si="8"/>
        <v>6743802.7599999998</v>
      </c>
      <c r="O77" s="25"/>
      <c r="P77" s="25"/>
      <c r="Q77" s="25"/>
      <c r="R77" s="25">
        <f t="shared" si="9"/>
        <v>6743802.7599999998</v>
      </c>
      <c r="S77" s="34">
        <f>6597552-S78</f>
        <v>6488643</v>
      </c>
      <c r="T77" s="27">
        <f t="shared" si="10"/>
        <v>0.96216381630947945</v>
      </c>
      <c r="U77" s="54">
        <f>2012984.82-U78</f>
        <v>1904075.82</v>
      </c>
      <c r="V77" s="27">
        <f t="shared" si="11"/>
        <v>0.28234452989843967</v>
      </c>
      <c r="W77" s="24">
        <f>2012984.82-W78</f>
        <v>1904075.82</v>
      </c>
      <c r="X77" s="27">
        <f t="shared" si="12"/>
        <v>0.28234452989843967</v>
      </c>
      <c r="Y77" s="5"/>
      <c r="Z77" s="5"/>
      <c r="AA77" s="5"/>
    </row>
    <row r="78" spans="1:27" ht="63" customHeight="1" x14ac:dyDescent="0.2">
      <c r="A78" s="21" t="s">
        <v>84</v>
      </c>
      <c r="B78" s="22" t="s">
        <v>85</v>
      </c>
      <c r="C78" s="22" t="s">
        <v>115</v>
      </c>
      <c r="D78" s="22" t="s">
        <v>118</v>
      </c>
      <c r="E78" s="32" t="s">
        <v>62</v>
      </c>
      <c r="F78" s="22" t="s">
        <v>119</v>
      </c>
      <c r="G78" s="22" t="s">
        <v>51</v>
      </c>
      <c r="H78" s="22" t="s">
        <v>145</v>
      </c>
      <c r="I78" s="32" t="s">
        <v>156</v>
      </c>
      <c r="J78" s="43">
        <v>4</v>
      </c>
      <c r="K78" s="33">
        <f>200000+500000</f>
        <v>700000</v>
      </c>
      <c r="L78" s="24">
        <v>0</v>
      </c>
      <c r="M78" s="24">
        <f>334000</f>
        <v>334000</v>
      </c>
      <c r="N78" s="25">
        <f t="shared" si="8"/>
        <v>366000</v>
      </c>
      <c r="O78" s="25"/>
      <c r="P78" s="25"/>
      <c r="Q78" s="25"/>
      <c r="R78" s="25">
        <f t="shared" si="9"/>
        <v>366000</v>
      </c>
      <c r="S78" s="34">
        <f>108909</f>
        <v>108909</v>
      </c>
      <c r="T78" s="27">
        <f t="shared" si="10"/>
        <v>0.29756557377049181</v>
      </c>
      <c r="U78" s="45">
        <v>108909</v>
      </c>
      <c r="V78" s="27">
        <f t="shared" si="11"/>
        <v>0.29756557377049181</v>
      </c>
      <c r="W78" s="24">
        <f>108909</f>
        <v>108909</v>
      </c>
      <c r="X78" s="27">
        <f t="shared" si="12"/>
        <v>0.29756557377049181</v>
      </c>
      <c r="Y78" s="5"/>
      <c r="Z78" s="5"/>
      <c r="AA78" s="5"/>
    </row>
    <row r="79" spans="1:27" ht="63" customHeight="1" x14ac:dyDescent="0.2">
      <c r="A79" s="21" t="s">
        <v>84</v>
      </c>
      <c r="B79" s="22" t="s">
        <v>85</v>
      </c>
      <c r="C79" s="22" t="s">
        <v>115</v>
      </c>
      <c r="D79" s="22" t="s">
        <v>118</v>
      </c>
      <c r="E79" s="32" t="s">
        <v>62</v>
      </c>
      <c r="F79" s="22" t="s">
        <v>119</v>
      </c>
      <c r="G79" s="22" t="s">
        <v>51</v>
      </c>
      <c r="H79" s="22" t="s">
        <v>158</v>
      </c>
      <c r="I79" s="32" t="s">
        <v>156</v>
      </c>
      <c r="J79" s="107">
        <v>3</v>
      </c>
      <c r="K79" s="33">
        <v>0</v>
      </c>
      <c r="L79" s="24">
        <v>3186951.68</v>
      </c>
      <c r="M79" s="24">
        <v>0</v>
      </c>
      <c r="N79" s="25">
        <f t="shared" si="8"/>
        <v>3186951.68</v>
      </c>
      <c r="O79" s="25"/>
      <c r="P79" s="25"/>
      <c r="Q79" s="25"/>
      <c r="R79" s="25">
        <f t="shared" si="9"/>
        <v>3186951.68</v>
      </c>
      <c r="S79" s="34">
        <v>2350503.27</v>
      </c>
      <c r="T79" s="27">
        <f t="shared" si="10"/>
        <v>0.73753966360732515</v>
      </c>
      <c r="U79" s="54">
        <v>11392.02</v>
      </c>
      <c r="V79" s="27">
        <f t="shared" si="11"/>
        <v>3.5745819654222056E-3</v>
      </c>
      <c r="W79" s="24">
        <v>11392.02</v>
      </c>
      <c r="X79" s="27">
        <f t="shared" si="12"/>
        <v>3.5745819654222056E-3</v>
      </c>
      <c r="Y79" s="5"/>
      <c r="Z79" s="5"/>
      <c r="AA79" s="5"/>
    </row>
    <row r="80" spans="1:27" ht="63" customHeight="1" x14ac:dyDescent="0.2">
      <c r="A80" s="21" t="s">
        <v>84</v>
      </c>
      <c r="B80" s="22" t="s">
        <v>85</v>
      </c>
      <c r="C80" s="22" t="s">
        <v>73</v>
      </c>
      <c r="D80" s="22" t="s">
        <v>74</v>
      </c>
      <c r="E80" s="32" t="s">
        <v>62</v>
      </c>
      <c r="F80" s="22" t="s">
        <v>120</v>
      </c>
      <c r="G80" s="22" t="s">
        <v>51</v>
      </c>
      <c r="H80" s="22" t="s">
        <v>148</v>
      </c>
      <c r="I80" s="22" t="s">
        <v>159</v>
      </c>
      <c r="J80" s="107">
        <v>3</v>
      </c>
      <c r="K80" s="33">
        <v>998000</v>
      </c>
      <c r="L80" s="24">
        <v>579023</v>
      </c>
      <c r="M80" s="24">
        <v>579023</v>
      </c>
      <c r="N80" s="25">
        <f t="shared" si="8"/>
        <v>998000</v>
      </c>
      <c r="O80" s="25"/>
      <c r="P80" s="25"/>
      <c r="Q80" s="25"/>
      <c r="R80" s="25">
        <f t="shared" si="9"/>
        <v>998000</v>
      </c>
      <c r="S80" s="34">
        <v>900570</v>
      </c>
      <c r="T80" s="27">
        <f t="shared" si="10"/>
        <v>0.90237474949899799</v>
      </c>
      <c r="U80" s="54">
        <v>462120</v>
      </c>
      <c r="V80" s="27">
        <f t="shared" si="11"/>
        <v>0.46304609218436876</v>
      </c>
      <c r="W80" s="24">
        <v>459982.98</v>
      </c>
      <c r="X80" s="27">
        <f t="shared" si="12"/>
        <v>0.46090478957915831</v>
      </c>
      <c r="Y80" s="5"/>
      <c r="Z80" s="5"/>
      <c r="AA80" s="5"/>
    </row>
    <row r="81" spans="1:27" ht="63" customHeight="1" x14ac:dyDescent="0.2">
      <c r="A81" s="21" t="s">
        <v>84</v>
      </c>
      <c r="B81" s="22" t="s">
        <v>85</v>
      </c>
      <c r="C81" s="22" t="s">
        <v>73</v>
      </c>
      <c r="D81" s="22" t="s">
        <v>74</v>
      </c>
      <c r="E81" s="32" t="s">
        <v>62</v>
      </c>
      <c r="F81" s="22" t="s">
        <v>120</v>
      </c>
      <c r="G81" s="22" t="s">
        <v>51</v>
      </c>
      <c r="H81" s="22" t="s">
        <v>160</v>
      </c>
      <c r="I81" s="22" t="s">
        <v>159</v>
      </c>
      <c r="J81" s="107">
        <v>3</v>
      </c>
      <c r="K81" s="33">
        <v>0</v>
      </c>
      <c r="L81" s="24">
        <v>1202697.3</v>
      </c>
      <c r="M81" s="24">
        <v>31200</v>
      </c>
      <c r="N81" s="25">
        <f t="shared" si="8"/>
        <v>1171497.3</v>
      </c>
      <c r="O81" s="25"/>
      <c r="P81" s="25"/>
      <c r="Q81" s="25"/>
      <c r="R81" s="25">
        <f t="shared" si="9"/>
        <v>1171497.3</v>
      </c>
      <c r="S81" s="34">
        <v>553643.64</v>
      </c>
      <c r="T81" s="27">
        <f t="shared" si="10"/>
        <v>0.47259489202407889</v>
      </c>
      <c r="U81" s="54">
        <v>364077.54</v>
      </c>
      <c r="V81" s="27">
        <f t="shared" si="11"/>
        <v>0.31077966632957665</v>
      </c>
      <c r="W81" s="24">
        <v>361728.49</v>
      </c>
      <c r="X81" s="27">
        <f t="shared" si="12"/>
        <v>0.30877449738893975</v>
      </c>
      <c r="Y81" s="5"/>
      <c r="Z81" s="5"/>
      <c r="AA81" s="5"/>
    </row>
    <row r="82" spans="1:27" ht="15.75" customHeight="1" x14ac:dyDescent="0.2">
      <c r="A82" s="119" t="s">
        <v>121</v>
      </c>
      <c r="B82" s="115"/>
      <c r="C82" s="115"/>
      <c r="D82" s="115"/>
      <c r="E82" s="115"/>
      <c r="F82" s="115"/>
      <c r="G82" s="115"/>
      <c r="H82" s="115"/>
      <c r="I82" s="115"/>
      <c r="J82" s="113"/>
      <c r="K82" s="38">
        <f t="shared" ref="K82:N82" si="13">SUM(K33:K81)</f>
        <v>151078000</v>
      </c>
      <c r="L82" s="38">
        <f t="shared" si="13"/>
        <v>95081609.300000012</v>
      </c>
      <c r="M82" s="38">
        <f t="shared" si="13"/>
        <v>35935015.080000006</v>
      </c>
      <c r="N82" s="38">
        <f t="shared" si="13"/>
        <v>210224594.22000003</v>
      </c>
      <c r="O82" s="38">
        <f t="shared" ref="O82:Q82" si="14">SUM(O33:O80)</f>
        <v>0</v>
      </c>
      <c r="P82" s="38">
        <f t="shared" si="14"/>
        <v>0</v>
      </c>
      <c r="Q82" s="38">
        <f t="shared" si="14"/>
        <v>0</v>
      </c>
      <c r="R82" s="38">
        <f t="shared" ref="R82:S82" si="15">SUM(R33:R81)</f>
        <v>210224594.22000003</v>
      </c>
      <c r="S82" s="38">
        <f t="shared" si="15"/>
        <v>148140309.01000002</v>
      </c>
      <c r="T82" s="39">
        <f t="shared" si="10"/>
        <v>0.70467639411862149</v>
      </c>
      <c r="U82" s="38">
        <f>SUM(U33:U81)</f>
        <v>70919469.870000005</v>
      </c>
      <c r="V82" s="39">
        <f t="shared" si="11"/>
        <v>0.33735096568093637</v>
      </c>
      <c r="W82" s="38">
        <f>SUM(W33:W81)</f>
        <v>69615905.459999993</v>
      </c>
      <c r="X82" s="39">
        <f t="shared" si="12"/>
        <v>0.33115014786113439</v>
      </c>
      <c r="Y82" s="5"/>
      <c r="Z82" s="5"/>
      <c r="AA82" s="5"/>
    </row>
    <row r="83" spans="1:27" ht="15.75" customHeight="1" x14ac:dyDescent="0.2">
      <c r="A83" s="120" t="s">
        <v>122</v>
      </c>
      <c r="B83" s="115"/>
      <c r="C83" s="115"/>
      <c r="D83" s="115"/>
      <c r="E83" s="115"/>
      <c r="F83" s="115"/>
      <c r="G83" s="115"/>
      <c r="H83" s="115"/>
      <c r="I83" s="115"/>
      <c r="J83" s="113"/>
      <c r="K83" s="55">
        <f t="shared" ref="K83:S83" si="16">SUM(K30+K82)</f>
        <v>1094864000</v>
      </c>
      <c r="L83" s="55">
        <f t="shared" si="16"/>
        <v>137509459.38</v>
      </c>
      <c r="M83" s="55">
        <f t="shared" si="16"/>
        <v>78362865.159999996</v>
      </c>
      <c r="N83" s="55">
        <f t="shared" si="16"/>
        <v>1154010594.22</v>
      </c>
      <c r="O83" s="55">
        <f t="shared" si="16"/>
        <v>0</v>
      </c>
      <c r="P83" s="55">
        <f t="shared" si="16"/>
        <v>0</v>
      </c>
      <c r="Q83" s="55">
        <f t="shared" si="16"/>
        <v>-30626500</v>
      </c>
      <c r="R83" s="55" t="e">
        <f t="shared" si="16"/>
        <v>#VALUE!</v>
      </c>
      <c r="S83" s="55">
        <f t="shared" si="16"/>
        <v>677507391.76999998</v>
      </c>
      <c r="T83" s="56" t="e">
        <f t="shared" si="10"/>
        <v>#VALUE!</v>
      </c>
      <c r="U83" s="55">
        <f>SUM(U30+U82)</f>
        <v>600095745.40999997</v>
      </c>
      <c r="V83" s="56" t="e">
        <f t="shared" si="11"/>
        <v>#VALUE!</v>
      </c>
      <c r="W83" s="55">
        <f>SUM(W30+W82)</f>
        <v>597094871.21000004</v>
      </c>
      <c r="X83" s="56" t="e">
        <f t="shared" si="12"/>
        <v>#VALUE!</v>
      </c>
      <c r="Y83" s="29"/>
      <c r="Z83" s="5"/>
      <c r="AA83" s="5"/>
    </row>
    <row r="84" spans="1:27" ht="14.25" customHeight="1" x14ac:dyDescent="0.2">
      <c r="A84" s="57" t="s">
        <v>123</v>
      </c>
      <c r="B84" s="58"/>
      <c r="C84" s="58"/>
      <c r="D84" s="58"/>
      <c r="E84" s="58"/>
      <c r="F84" s="58"/>
      <c r="G84" s="58"/>
      <c r="H84" s="59"/>
      <c r="I84" s="59"/>
      <c r="J84" s="59"/>
      <c r="K84" s="58"/>
      <c r="L84" s="58"/>
      <c r="M84" s="60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5"/>
      <c r="Z84" s="5"/>
      <c r="AA84" s="5"/>
    </row>
    <row r="85" spans="1:27" ht="14.25" customHeight="1" x14ac:dyDescent="0.2">
      <c r="A85" s="57" t="s">
        <v>124</v>
      </c>
      <c r="B85" s="62"/>
      <c r="C85" s="58"/>
      <c r="D85" s="58"/>
      <c r="E85" s="58"/>
      <c r="F85" s="58"/>
      <c r="G85" s="58"/>
      <c r="H85" s="59"/>
      <c r="I85" s="59"/>
      <c r="J85" s="59"/>
      <c r="K85" s="58"/>
      <c r="L85" s="58"/>
      <c r="M85" s="60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5"/>
      <c r="Z85" s="5"/>
      <c r="AA85" s="5"/>
    </row>
    <row r="86" spans="1:27" ht="14.25" customHeight="1" x14ac:dyDescent="0.2">
      <c r="A86" s="121" t="s">
        <v>125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3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5"/>
      <c r="Z86" s="5"/>
      <c r="AA86" s="5"/>
    </row>
    <row r="87" spans="1:27" ht="14.25" customHeight="1" x14ac:dyDescent="0.2">
      <c r="A87" s="63" t="s">
        <v>162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61"/>
      <c r="O87" s="61"/>
      <c r="P87" s="61"/>
      <c r="Q87" s="5"/>
      <c r="R87" s="5"/>
      <c r="S87" s="5"/>
      <c r="T87" s="5"/>
      <c r="U87" s="5"/>
      <c r="V87" s="5"/>
      <c r="W87" s="5"/>
      <c r="X87" s="64"/>
      <c r="Y87" s="5"/>
      <c r="Z87" s="5"/>
      <c r="AA87" s="5"/>
    </row>
    <row r="88" spans="1:27" ht="14.25" customHeight="1" x14ac:dyDescent="0.2">
      <c r="A88" s="131"/>
      <c r="B88" s="128"/>
      <c r="C88" s="128"/>
      <c r="D88" s="128"/>
      <c r="E88" s="128"/>
      <c r="F88" s="128"/>
      <c r="G88" s="128"/>
      <c r="H88" s="129"/>
      <c r="I88" s="5"/>
      <c r="J88" s="5"/>
      <c r="K88" s="5"/>
      <c r="L88" s="5"/>
      <c r="M88" s="5"/>
      <c r="N88" s="61"/>
      <c r="O88" s="61"/>
      <c r="P88" s="61"/>
      <c r="Q88" s="5"/>
      <c r="R88" s="5"/>
      <c r="S88" s="5"/>
      <c r="T88" s="5"/>
      <c r="U88" s="5"/>
      <c r="V88" s="5"/>
      <c r="W88" s="5"/>
      <c r="X88" s="64"/>
      <c r="Y88" s="5"/>
      <c r="Z88" s="5"/>
      <c r="AA88" s="5"/>
    </row>
    <row r="89" spans="1:27" ht="14.25" customHeight="1" x14ac:dyDescent="0.2">
      <c r="A89" s="132"/>
      <c r="B89" s="125"/>
      <c r="C89" s="125"/>
      <c r="D89" s="125"/>
      <c r="E89" s="125"/>
      <c r="F89" s="125"/>
      <c r="G89" s="125"/>
      <c r="H89" s="133"/>
      <c r="I89" s="3"/>
      <c r="J89" s="3"/>
      <c r="K89" s="65"/>
      <c r="L89" s="65"/>
      <c r="M89" s="65"/>
      <c r="N89" s="65"/>
      <c r="O89" s="65"/>
      <c r="P89" s="65"/>
      <c r="Q89" s="5"/>
      <c r="R89" s="5"/>
      <c r="S89" s="5"/>
      <c r="T89" s="5"/>
      <c r="U89" s="5"/>
      <c r="V89" s="5"/>
      <c r="W89" s="5"/>
      <c r="X89" s="64"/>
      <c r="Y89" s="29"/>
      <c r="Z89" s="5"/>
      <c r="AA89" s="5"/>
    </row>
    <row r="90" spans="1:27" ht="14.25" customHeight="1" x14ac:dyDescent="0.2">
      <c r="A90" s="134"/>
      <c r="B90" s="135"/>
      <c r="C90" s="135"/>
      <c r="D90" s="135"/>
      <c r="E90" s="135"/>
      <c r="F90" s="135"/>
      <c r="G90" s="135"/>
      <c r="H90" s="136"/>
      <c r="I90" s="3"/>
      <c r="J90" s="3"/>
      <c r="K90" s="65"/>
      <c r="L90" s="65"/>
      <c r="M90" s="65"/>
      <c r="N90" s="65"/>
      <c r="O90" s="65"/>
      <c r="P90" s="65"/>
      <c r="Q90" s="5"/>
      <c r="R90" s="5"/>
      <c r="S90" s="5"/>
      <c r="T90" s="5"/>
      <c r="U90" s="66"/>
      <c r="V90" s="5"/>
      <c r="W90" s="5"/>
      <c r="X90" s="64"/>
      <c r="Y90" s="29"/>
      <c r="Z90" s="5"/>
      <c r="AA90" s="5"/>
    </row>
    <row r="91" spans="1:27" ht="14.25" customHeight="1" x14ac:dyDescent="0.2">
      <c r="A91" s="67"/>
      <c r="B91" s="67"/>
      <c r="C91" s="67"/>
      <c r="D91" s="61"/>
      <c r="E91" s="61"/>
      <c r="F91" s="61"/>
      <c r="G91" s="61"/>
      <c r="H91" s="3"/>
      <c r="I91" s="3"/>
      <c r="J91" s="3"/>
      <c r="K91" s="65"/>
      <c r="L91" s="65"/>
      <c r="M91" s="65"/>
      <c r="N91" s="65"/>
      <c r="O91" s="65"/>
      <c r="P91" s="65"/>
      <c r="Q91" s="5"/>
      <c r="R91" s="5"/>
      <c r="S91" s="5"/>
      <c r="T91" s="5"/>
      <c r="U91" s="66"/>
      <c r="V91" s="5"/>
      <c r="W91" s="5"/>
      <c r="X91" s="64"/>
      <c r="Y91" s="29"/>
      <c r="Z91" s="5"/>
      <c r="AA91" s="5"/>
    </row>
    <row r="92" spans="1:27" ht="14.25" customHeight="1" x14ac:dyDescent="0.2">
      <c r="A92" s="67"/>
      <c r="B92" s="67"/>
      <c r="C92" s="67"/>
      <c r="D92" s="61"/>
      <c r="E92" s="61"/>
      <c r="F92" s="61"/>
      <c r="G92" s="61"/>
      <c r="H92" s="3"/>
      <c r="I92" s="3"/>
      <c r="J92" s="3"/>
      <c r="K92" s="65"/>
      <c r="L92" s="65"/>
      <c r="M92" s="65"/>
      <c r="N92" s="65"/>
      <c r="O92" s="65"/>
      <c r="P92" s="65"/>
      <c r="Q92" s="5"/>
      <c r="R92" s="5"/>
      <c r="S92" s="5"/>
      <c r="T92" s="5"/>
      <c r="U92" s="66"/>
      <c r="V92" s="5"/>
      <c r="W92" s="5"/>
      <c r="X92" s="64"/>
      <c r="Y92" s="29"/>
      <c r="Z92" s="5"/>
      <c r="AA92" s="5"/>
    </row>
    <row r="93" spans="1:27" ht="14.25" customHeight="1" x14ac:dyDescent="0.2">
      <c r="A93" s="68"/>
      <c r="B93" s="68"/>
      <c r="C93" s="68"/>
      <c r="D93" s="68"/>
      <c r="E93" s="68"/>
      <c r="F93" s="68"/>
      <c r="G93" s="61"/>
      <c r="H93" s="3"/>
      <c r="I93" s="3"/>
      <c r="J93" s="3"/>
      <c r="K93" s="65"/>
      <c r="L93" s="61"/>
      <c r="M93" s="61"/>
      <c r="N93" s="61"/>
      <c r="O93" s="61"/>
      <c r="P93" s="61"/>
      <c r="Q93" s="5"/>
      <c r="R93" s="5"/>
      <c r="S93" s="5"/>
      <c r="T93" s="5"/>
      <c r="U93" s="66"/>
      <c r="V93" s="5"/>
      <c r="W93" s="5"/>
      <c r="X93" s="61"/>
      <c r="Y93" s="5"/>
      <c r="Z93" s="5"/>
      <c r="AA93" s="5"/>
    </row>
    <row r="94" spans="1:27" ht="14.25" customHeight="1" x14ac:dyDescent="0.2">
      <c r="A94" s="68"/>
      <c r="B94" s="68"/>
      <c r="C94" s="68"/>
      <c r="D94" s="68"/>
      <c r="E94" s="68"/>
      <c r="F94" s="68"/>
      <c r="G94" s="61"/>
      <c r="H94" s="3"/>
      <c r="I94" s="3"/>
      <c r="J94" s="3"/>
      <c r="K94" s="65"/>
      <c r="L94" s="61"/>
      <c r="M94" s="61"/>
      <c r="N94" s="61"/>
      <c r="O94" s="61"/>
      <c r="P94" s="61"/>
      <c r="Q94" s="5"/>
      <c r="R94" s="5"/>
      <c r="S94" s="5"/>
      <c r="T94" s="5"/>
      <c r="U94" s="5"/>
      <c r="V94" s="5"/>
      <c r="W94" s="5"/>
      <c r="X94" s="61"/>
      <c r="Y94" s="5"/>
      <c r="Z94" s="5"/>
      <c r="AA94" s="5"/>
    </row>
    <row r="95" spans="1:27" ht="15.75" customHeight="1" x14ac:dyDescent="0.2">
      <c r="A95" s="68"/>
      <c r="B95" s="68"/>
      <c r="C95" s="68"/>
      <c r="D95" s="68"/>
      <c r="E95" s="68"/>
      <c r="F95" s="68"/>
      <c r="G95" s="61"/>
      <c r="H95" s="3"/>
      <c r="I95" s="3"/>
      <c r="J95" s="3"/>
      <c r="K95" s="61"/>
      <c r="L95" s="61"/>
      <c r="M95" s="61"/>
      <c r="N95" s="61"/>
      <c r="O95" s="61"/>
      <c r="P95" s="61"/>
      <c r="Q95" s="69" t="s">
        <v>31</v>
      </c>
      <c r="R95" s="69"/>
      <c r="S95" s="70"/>
      <c r="T95" s="69" t="s">
        <v>32</v>
      </c>
      <c r="U95" s="69"/>
      <c r="V95" s="64"/>
      <c r="W95" s="71" t="s">
        <v>126</v>
      </c>
      <c r="X95" s="61"/>
      <c r="Y95" s="5"/>
      <c r="Z95" s="5"/>
      <c r="AA95" s="5"/>
    </row>
    <row r="96" spans="1:27" ht="14.25" customHeight="1" x14ac:dyDescent="0.2">
      <c r="A96" s="68"/>
      <c r="B96" s="68"/>
      <c r="C96" s="68"/>
      <c r="D96" s="68"/>
      <c r="E96" s="68"/>
      <c r="F96" s="68"/>
      <c r="G96" s="61"/>
      <c r="H96" s="3"/>
      <c r="I96" s="3"/>
      <c r="J96" s="3"/>
      <c r="K96" s="72"/>
      <c r="L96" s="72"/>
      <c r="M96" s="72"/>
      <c r="N96" s="72"/>
      <c r="O96" s="72"/>
      <c r="P96" s="72"/>
      <c r="Q96" s="73">
        <v>1</v>
      </c>
      <c r="R96" s="74">
        <v>390923803.81999999</v>
      </c>
      <c r="S96" s="64"/>
      <c r="T96" s="75">
        <v>1</v>
      </c>
      <c r="U96" s="74">
        <f>U16+U17+U20+U21+U24+U25+U27+U28+U29</f>
        <v>453480961.27999997</v>
      </c>
      <c r="V96" s="64"/>
      <c r="W96" s="76">
        <f t="shared" ref="W96:W98" si="17">U96-R96</f>
        <v>62557157.459999979</v>
      </c>
      <c r="X96" s="61"/>
      <c r="Y96" s="66"/>
      <c r="Z96" s="5"/>
      <c r="AA96" s="5"/>
    </row>
    <row r="97" spans="1:27" ht="14.25" customHeight="1" x14ac:dyDescent="0.2">
      <c r="A97" s="1"/>
      <c r="B97" s="77"/>
      <c r="C97" s="77"/>
      <c r="D97" s="77"/>
      <c r="E97" s="1"/>
      <c r="F97" s="1"/>
      <c r="G97" s="1"/>
      <c r="H97" s="2"/>
      <c r="I97" s="2"/>
      <c r="J97" s="3"/>
      <c r="K97" s="78"/>
      <c r="L97" s="78"/>
      <c r="M97" s="78"/>
      <c r="N97" s="78"/>
      <c r="O97" s="78"/>
      <c r="P97" s="78"/>
      <c r="Q97" s="79">
        <v>3</v>
      </c>
      <c r="R97" s="80">
        <v>117327211.58</v>
      </c>
      <c r="S97" s="81"/>
      <c r="T97" s="82">
        <v>3</v>
      </c>
      <c r="U97" s="80">
        <f>U14+U15+U18+U19+U22+U26+U36+U39+U48+U50+U52+U53+U60+U61+U62+U63+U64+U66+U68+U69+U70+U71+U72+U73+U75+U77+U79+U80+U81</f>
        <v>138847005.67999998</v>
      </c>
      <c r="V97" s="83"/>
      <c r="W97" s="84">
        <f t="shared" si="17"/>
        <v>21519794.099999979</v>
      </c>
      <c r="X97" s="1"/>
      <c r="Y97" s="66"/>
      <c r="Z97" s="5"/>
      <c r="AA97" s="5"/>
    </row>
    <row r="98" spans="1:27" ht="14.2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85">
        <v>4</v>
      </c>
      <c r="R98" s="86">
        <v>6644324.6699999999</v>
      </c>
      <c r="S98" s="81"/>
      <c r="T98" s="87">
        <v>4</v>
      </c>
      <c r="U98" s="86">
        <f>U33+U40+U41+U42+U43+U44+U45+U46+U47+U49+U51+U54+U55+U56+U58+U59+U65+U67+U74+U76+U78</f>
        <v>7767778.4500000002</v>
      </c>
      <c r="V98" s="88"/>
      <c r="W98" s="89">
        <f t="shared" si="17"/>
        <v>1123453.7800000003</v>
      </c>
      <c r="X98" s="5"/>
      <c r="Y98" s="5"/>
      <c r="Z98" s="5"/>
      <c r="AA98" s="5"/>
    </row>
    <row r="99" spans="1:27" ht="14.2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137" t="s">
        <v>127</v>
      </c>
      <c r="L99" s="138"/>
      <c r="M99" s="138"/>
      <c r="N99" s="139"/>
      <c r="O99" s="5"/>
      <c r="P99" s="5"/>
      <c r="Q99" s="122" t="s">
        <v>128</v>
      </c>
      <c r="R99" s="113"/>
      <c r="S99" s="61"/>
      <c r="T99" s="112" t="s">
        <v>129</v>
      </c>
      <c r="U99" s="113"/>
      <c r="V99" s="88"/>
      <c r="W99" s="83"/>
      <c r="X99" s="5"/>
      <c r="Y99" s="5"/>
      <c r="Z99" s="5"/>
      <c r="AA99" s="5"/>
    </row>
    <row r="100" spans="1:27" ht="14.25" customHeight="1" x14ac:dyDescent="0.2">
      <c r="A100" s="5"/>
      <c r="B100" s="5"/>
      <c r="C100" s="5" t="s">
        <v>130</v>
      </c>
      <c r="D100" s="5"/>
      <c r="E100" s="5"/>
      <c r="F100" s="130" t="s">
        <v>131</v>
      </c>
      <c r="G100" s="125"/>
      <c r="H100" s="125"/>
      <c r="I100" s="125"/>
      <c r="J100" s="5"/>
      <c r="K100" s="90"/>
      <c r="L100" s="90"/>
      <c r="M100" s="90"/>
      <c r="N100" s="90"/>
      <c r="O100" s="5"/>
      <c r="P100" s="5"/>
      <c r="Q100" s="72"/>
      <c r="R100" s="72"/>
      <c r="S100" s="72"/>
      <c r="T100" s="12"/>
      <c r="U100" s="83"/>
      <c r="V100" s="88"/>
      <c r="W100" s="5"/>
      <c r="X100" s="66"/>
      <c r="Y100" s="5"/>
      <c r="Z100" s="5"/>
      <c r="AA100" s="5"/>
    </row>
    <row r="101" spans="1:27" ht="14.25" customHeight="1" x14ac:dyDescent="0.2">
      <c r="A101" s="5"/>
      <c r="B101" s="5"/>
      <c r="C101" s="5" t="s">
        <v>132</v>
      </c>
      <c r="D101" s="5"/>
      <c r="E101" s="5"/>
      <c r="F101" s="5" t="s">
        <v>132</v>
      </c>
      <c r="G101" s="5"/>
      <c r="H101" s="5"/>
      <c r="I101" s="5"/>
      <c r="J101" s="5"/>
      <c r="K101" s="90"/>
      <c r="L101" s="90" t="s">
        <v>132</v>
      </c>
      <c r="M101" s="90"/>
      <c r="N101" s="90"/>
      <c r="O101" s="5"/>
      <c r="P101" s="5"/>
      <c r="Q101" s="78"/>
      <c r="R101" s="78"/>
      <c r="S101" s="78"/>
      <c r="T101" s="91" t="s">
        <v>133</v>
      </c>
      <c r="U101" s="92">
        <f>SUM(U96:U98)</f>
        <v>600095745.40999997</v>
      </c>
      <c r="V101" s="5"/>
      <c r="W101" s="66">
        <f>SUM(W96:W100)</f>
        <v>85200405.339999959</v>
      </c>
      <c r="X101" s="66"/>
      <c r="Y101" s="66"/>
      <c r="Z101" s="5"/>
      <c r="AA101" s="5"/>
    </row>
    <row r="102" spans="1:27" ht="14.25" customHeight="1" x14ac:dyDescent="0.2">
      <c r="A102" s="5"/>
      <c r="B102" s="5"/>
      <c r="C102" s="5">
        <v>1</v>
      </c>
      <c r="D102" s="29">
        <f>W16+W17+W20+W21+W24+W25+W27+W28+W29</f>
        <v>451783651.48999995</v>
      </c>
      <c r="E102" s="5"/>
      <c r="F102" s="5">
        <v>1</v>
      </c>
      <c r="G102" s="29">
        <f>S16+S17+S20+S21+S24+S25+S27+S28+S29</f>
        <v>453671768.5</v>
      </c>
      <c r="H102" s="5"/>
      <c r="I102" s="5"/>
      <c r="J102" s="5"/>
      <c r="K102" s="93" t="s">
        <v>134</v>
      </c>
      <c r="L102" s="93">
        <v>1</v>
      </c>
      <c r="M102" s="94">
        <f>L16+L17+L20+L21+L24+L25+L27+L28+L29</f>
        <v>41784652.060000002</v>
      </c>
      <c r="N102" s="95">
        <f>M102-M103+Q83</f>
        <v>-30626500</v>
      </c>
      <c r="O102" s="5"/>
      <c r="P102" s="5"/>
      <c r="Q102" s="5"/>
      <c r="R102" s="96"/>
      <c r="S102" s="5"/>
      <c r="T102" s="5"/>
      <c r="U102" s="5"/>
      <c r="V102" s="5"/>
      <c r="W102" s="5"/>
      <c r="X102" s="66"/>
      <c r="Y102" s="5"/>
      <c r="Z102" s="5"/>
      <c r="AA102" s="5"/>
    </row>
    <row r="103" spans="1:27" ht="14.25" customHeight="1" x14ac:dyDescent="0.2">
      <c r="A103" s="5"/>
      <c r="B103" s="5"/>
      <c r="C103" s="5">
        <v>3</v>
      </c>
      <c r="D103" s="29" t="e">
        <f>W14+W15+W18+W22+W23+W26+W34+W37+W41+W48+W50+W52+W53+W57+W60+W62+W63+W64+W66+W68+W69+W71+W72+W73+W75+W77+W80+#REF!</f>
        <v>#REF!</v>
      </c>
      <c r="E103" s="5"/>
      <c r="F103" s="5">
        <v>3</v>
      </c>
      <c r="G103" s="29" t="e">
        <f>S14+S15+S18+S22+S23+S26+S34+S37+S41+S48+S50+S52+S53+S57+S60+S62+S63+S64+S66+S68+S69+S71+S72+S73+S75+S77+S80+#REF!</f>
        <v>#REF!</v>
      </c>
      <c r="H103" s="5"/>
      <c r="I103" s="5"/>
      <c r="J103" s="5"/>
      <c r="K103" s="90" t="s">
        <v>135</v>
      </c>
      <c r="L103" s="90">
        <v>1</v>
      </c>
      <c r="M103" s="97">
        <f>M16+M17+M20+M21+M24+M25+M27+M28+M29</f>
        <v>41784652.060000002</v>
      </c>
      <c r="N103" s="90"/>
      <c r="O103" s="5"/>
      <c r="P103" s="5"/>
      <c r="Q103" s="5"/>
      <c r="R103" s="96"/>
      <c r="S103" s="5"/>
      <c r="T103" s="5"/>
      <c r="U103" s="5"/>
      <c r="V103" s="5"/>
      <c r="W103" s="5"/>
      <c r="X103" s="66"/>
      <c r="Y103" s="66"/>
      <c r="Z103" s="5"/>
      <c r="AA103" s="5"/>
    </row>
    <row r="104" spans="1:27" ht="14.25" customHeight="1" x14ac:dyDescent="0.2">
      <c r="A104" s="5"/>
      <c r="B104" s="5"/>
      <c r="C104" s="5">
        <v>4</v>
      </c>
      <c r="D104" s="98" t="e">
        <f>W33+W35+W38+W40+#REF!+W42+W49+W54+W56+W58+W65+W67+W74+W76+W78+W79</f>
        <v>#REF!</v>
      </c>
      <c r="E104" s="5"/>
      <c r="F104" s="5">
        <v>4</v>
      </c>
      <c r="G104" s="29" t="e">
        <f>S33+S35+S38+S40+#REF!+S42+S49+S54+S56+S58+S65+S67+S74+S76+S78+S79</f>
        <v>#REF!</v>
      </c>
      <c r="H104" s="5"/>
      <c r="I104" s="5"/>
      <c r="J104" s="5"/>
      <c r="K104" s="90"/>
      <c r="L104" s="90"/>
      <c r="M104" s="90"/>
      <c r="N104" s="90"/>
      <c r="O104" s="5"/>
      <c r="P104" s="5"/>
      <c r="Q104" s="5"/>
      <c r="R104" s="96"/>
      <c r="S104" s="5"/>
      <c r="T104" s="99" t="s">
        <v>136</v>
      </c>
      <c r="U104" s="100">
        <f>U14+U15+U18+U22+U23+U26</f>
        <v>75695314.25999999</v>
      </c>
      <c r="V104" s="5"/>
      <c r="W104" s="66">
        <v>11990968.1</v>
      </c>
      <c r="X104" s="66"/>
      <c r="Y104" s="5"/>
      <c r="Z104" s="5"/>
      <c r="AA104" s="5"/>
    </row>
    <row r="105" spans="1:27" ht="14.2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90"/>
      <c r="L105" s="90"/>
      <c r="M105" s="95">
        <f>M102-M103</f>
        <v>0</v>
      </c>
      <c r="N105" s="90"/>
      <c r="O105" s="5"/>
      <c r="P105" s="5"/>
      <c r="Q105" s="5"/>
      <c r="R105" s="5"/>
      <c r="S105" s="5"/>
      <c r="T105" s="99" t="s">
        <v>137</v>
      </c>
      <c r="U105" s="100">
        <f>U41+U42+U53+U54+U57+U62+U64+U65+U66+U69</f>
        <v>25946210.719999999</v>
      </c>
      <c r="V105" s="66"/>
      <c r="W105" s="66">
        <v>95243022.530000001</v>
      </c>
      <c r="X105" s="66"/>
      <c r="Y105" s="5"/>
      <c r="Z105" s="5"/>
      <c r="AA105" s="5"/>
    </row>
    <row r="106" spans="1:27" ht="14.2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90"/>
      <c r="L106" s="90"/>
      <c r="M106" s="90"/>
      <c r="N106" s="90"/>
      <c r="O106" s="5"/>
      <c r="P106" s="5"/>
      <c r="Q106" s="5"/>
      <c r="R106" s="5"/>
      <c r="S106" s="5"/>
      <c r="T106" s="99" t="s">
        <v>133</v>
      </c>
      <c r="U106" s="100">
        <f>U104+U105</f>
        <v>101641524.97999999</v>
      </c>
      <c r="V106" s="66"/>
      <c r="W106" s="66"/>
      <c r="X106" s="66"/>
      <c r="Y106" s="5"/>
      <c r="Z106" s="5"/>
      <c r="AA106" s="5"/>
    </row>
    <row r="107" spans="1:27" ht="14.2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90"/>
      <c r="L107" s="90" t="s">
        <v>138</v>
      </c>
      <c r="M107" s="90"/>
      <c r="N107" s="90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93" t="s">
        <v>134</v>
      </c>
      <c r="L108" s="93">
        <v>3</v>
      </c>
      <c r="M108" s="94" t="e">
        <f>L14+L15+L18+L22+L23+L26+L34+L37+L41+L48+L50+L52+L53+L57+L60+L62+L63+L64+L66+L68+L69+L71+L72+L73+L75+L77+L80+#REF!</f>
        <v>#REF!</v>
      </c>
      <c r="N108" s="95" t="e">
        <f>M108-M109</f>
        <v>#REF!</v>
      </c>
      <c r="O108" s="5"/>
      <c r="P108" s="5"/>
      <c r="Q108" s="5"/>
      <c r="R108" s="5"/>
      <c r="S108" s="5"/>
      <c r="T108" s="5"/>
      <c r="U108" s="5"/>
      <c r="V108" s="5"/>
      <c r="W108" s="66">
        <f>SUM(W104:W107)</f>
        <v>107233990.63</v>
      </c>
      <c r="X108" s="5"/>
      <c r="Y108" s="5"/>
      <c r="Z108" s="5"/>
      <c r="AA108" s="5"/>
    </row>
    <row r="109" spans="1:27" ht="14.2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90" t="s">
        <v>139</v>
      </c>
      <c r="L109" s="90">
        <v>3</v>
      </c>
      <c r="M109" s="97" t="e">
        <f>M14+M15+M18+M22+M23+M26+M34+M37+M41+M48+M50+M52+M53+M57+M60+M62+M63+M64+M66+M68+M69+M71+M72+M73+M75+M77+M80+#REF!</f>
        <v>#REF!</v>
      </c>
      <c r="N109" s="90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 x14ac:dyDescent="0.2">
      <c r="A110" s="5"/>
      <c r="B110" s="5"/>
      <c r="C110" s="5"/>
      <c r="D110" s="66"/>
      <c r="E110" s="5"/>
      <c r="F110" s="5"/>
      <c r="G110" s="5"/>
      <c r="H110" s="5"/>
      <c r="I110" s="5"/>
      <c r="J110" s="5"/>
      <c r="K110" s="90"/>
      <c r="L110" s="90"/>
      <c r="M110" s="90"/>
      <c r="N110" s="90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90"/>
      <c r="L111" s="90"/>
      <c r="M111" s="95" t="e">
        <f>M108-M109</f>
        <v>#REF!</v>
      </c>
      <c r="N111" s="90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90"/>
      <c r="L112" s="90"/>
      <c r="M112" s="90"/>
      <c r="N112" s="90"/>
      <c r="O112" s="5"/>
      <c r="P112" s="5"/>
      <c r="Q112" s="5"/>
      <c r="R112" s="5"/>
      <c r="S112" s="5"/>
      <c r="T112" s="5"/>
      <c r="U112" s="5"/>
      <c r="V112" s="5"/>
      <c r="W112" s="66">
        <f>W108-W101</f>
        <v>22033585.290000036</v>
      </c>
      <c r="X112" s="5"/>
      <c r="Y112" s="5"/>
      <c r="Z112" s="5"/>
      <c r="AA112" s="5"/>
    </row>
    <row r="113" spans="1:27" ht="14.2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90"/>
      <c r="L113" s="90" t="s">
        <v>132</v>
      </c>
      <c r="M113" s="90"/>
      <c r="N113" s="90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93" t="s">
        <v>140</v>
      </c>
      <c r="L114" s="93">
        <v>4</v>
      </c>
      <c r="M114" s="94" t="e">
        <f>L33+L35+L38+L40+#REF!+L42+L49+L54+L56+L58+L65+L67+L74+L76+L78+L79</f>
        <v>#REF!</v>
      </c>
      <c r="N114" s="95" t="e">
        <f>M114-M115</f>
        <v>#REF!</v>
      </c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90" t="s">
        <v>141</v>
      </c>
      <c r="L115" s="90">
        <v>4</v>
      </c>
      <c r="M115" s="97" t="e">
        <f>M33+M35+M38+M40+#REF!+M42+M49+M54+M56+M58+M65+M67+M74+M76+M78+M79</f>
        <v>#REF!</v>
      </c>
      <c r="N115" s="90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90"/>
      <c r="L116" s="90"/>
      <c r="M116" s="90"/>
      <c r="N116" s="9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66" t="e">
        <f>M114-M115</f>
        <v>#REF!</v>
      </c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66" t="e">
        <f>N102+N108+N114</f>
        <v>#REF!</v>
      </c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4.2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4.2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4.2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4.2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4.2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4.2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4.2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4.2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4.2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4.2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4.2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4.2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4.2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4.2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4.2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4.2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4.2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4.2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4.2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4.2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4.2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4.2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4.2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4.2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4.2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4.2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4.2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14.2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14.2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1:27" ht="14.2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 spans="1:27" ht="14.25" customHeight="1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</row>
    <row r="1002" spans="1:27" ht="14.25" customHeight="1" x14ac:dyDescent="0.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</row>
    <row r="1003" spans="1:27" ht="14.25" customHeight="1" x14ac:dyDescent="0.2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</row>
    <row r="1004" spans="1:27" ht="14.25" customHeight="1" x14ac:dyDescent="0.2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</row>
    <row r="1005" spans="1:27" ht="14.25" customHeight="1" x14ac:dyDescent="0.2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</row>
    <row r="1006" spans="1:27" ht="14.25" customHeight="1" x14ac:dyDescent="0.2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</row>
    <row r="1007" spans="1:27" ht="14.25" customHeight="1" x14ac:dyDescent="0.2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</row>
    <row r="1008" spans="1:27" ht="14.25" customHeight="1" x14ac:dyDescent="0.2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</row>
    <row r="1009" spans="1:27" ht="14.25" customHeight="1" x14ac:dyDescent="0.2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</row>
    <row r="1010" spans="1:27" ht="14.25" customHeight="1" x14ac:dyDescent="0.2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</row>
  </sheetData>
  <mergeCells count="32">
    <mergeCell ref="A1:F1"/>
    <mergeCell ref="A2:F2"/>
    <mergeCell ref="A3:F3"/>
    <mergeCell ref="A4:F4"/>
    <mergeCell ref="A6:F6"/>
    <mergeCell ref="A7:F7"/>
    <mergeCell ref="A9:X9"/>
    <mergeCell ref="P11:Q11"/>
    <mergeCell ref="S11:X11"/>
    <mergeCell ref="E12:F12"/>
    <mergeCell ref="H12:I12"/>
    <mergeCell ref="A8:F8"/>
    <mergeCell ref="A11:J11"/>
    <mergeCell ref="K11:K12"/>
    <mergeCell ref="L11:M11"/>
    <mergeCell ref="N11:N12"/>
    <mergeCell ref="O11:O12"/>
    <mergeCell ref="R11:R12"/>
    <mergeCell ref="T99:U99"/>
    <mergeCell ref="F100:I100"/>
    <mergeCell ref="A12:B12"/>
    <mergeCell ref="C12:C13"/>
    <mergeCell ref="D12:D13"/>
    <mergeCell ref="G12:G13"/>
    <mergeCell ref="J12:J13"/>
    <mergeCell ref="A30:J30"/>
    <mergeCell ref="A82:J82"/>
    <mergeCell ref="A83:J83"/>
    <mergeCell ref="A86:M86"/>
    <mergeCell ref="A88:H90"/>
    <mergeCell ref="K99:N99"/>
    <mergeCell ref="Q99:R99"/>
  </mergeCells>
  <printOptions horizontalCentered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1000"/>
  <sheetViews>
    <sheetView workbookViewId="0"/>
  </sheetViews>
  <sheetFormatPr defaultColWidth="12.625" defaultRowHeight="15" customHeight="1" x14ac:dyDescent="0.2"/>
  <cols>
    <col min="1" max="3" width="8" customWidth="1"/>
    <col min="4" max="4" width="9.875" customWidth="1"/>
    <col min="5" max="10" width="8" customWidth="1"/>
    <col min="11" max="11" width="11.125" customWidth="1"/>
    <col min="12" max="12" width="10.25" customWidth="1"/>
    <col min="13" max="13" width="10.625" customWidth="1"/>
    <col min="14" max="14" width="11.625" customWidth="1"/>
    <col min="15" max="15" width="10.75" customWidth="1"/>
    <col min="16" max="16" width="8" customWidth="1"/>
    <col min="17" max="17" width="10.625" customWidth="1"/>
    <col min="18" max="18" width="12.75" customWidth="1"/>
    <col min="19" max="19" width="10.875" customWidth="1"/>
    <col min="20" max="20" width="8" customWidth="1"/>
    <col min="21" max="21" width="14.5" customWidth="1"/>
    <col min="22" max="22" width="8" customWidth="1"/>
    <col min="23" max="23" width="13.5" customWidth="1"/>
    <col min="24" max="26" width="8" customWidth="1"/>
  </cols>
  <sheetData>
    <row r="1" spans="1:24" ht="14.25" customHeight="1" x14ac:dyDescent="0.2">
      <c r="A1" s="123" t="s">
        <v>0</v>
      </c>
      <c r="B1" s="115"/>
      <c r="C1" s="113"/>
      <c r="D1" s="1"/>
      <c r="E1" s="1"/>
      <c r="F1" s="1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1"/>
      <c r="W1" s="12"/>
      <c r="X1" s="1"/>
    </row>
    <row r="2" spans="1:24" ht="14.25" customHeight="1" x14ac:dyDescent="0.2">
      <c r="A2" s="127" t="s">
        <v>1</v>
      </c>
      <c r="B2" s="128"/>
      <c r="C2" s="129"/>
      <c r="D2" s="1"/>
      <c r="E2" s="1"/>
      <c r="F2" s="1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1"/>
      <c r="W2" s="12"/>
      <c r="X2" s="1"/>
    </row>
    <row r="3" spans="1:24" ht="14.25" customHeight="1" x14ac:dyDescent="0.2">
      <c r="A3" s="127" t="s">
        <v>2</v>
      </c>
      <c r="B3" s="128"/>
      <c r="C3" s="128"/>
      <c r="D3" s="128"/>
      <c r="E3" s="128"/>
      <c r="F3" s="6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1"/>
      <c r="W3" s="12"/>
      <c r="X3" s="1"/>
    </row>
    <row r="4" spans="1:24" ht="14.25" customHeight="1" x14ac:dyDescent="0.2">
      <c r="A4" s="123" t="s">
        <v>165</v>
      </c>
      <c r="B4" s="115"/>
      <c r="C4" s="115"/>
      <c r="D4" s="115"/>
      <c r="E4" s="115"/>
      <c r="F4" s="7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1"/>
      <c r="W4" s="12"/>
      <c r="X4" s="1"/>
    </row>
    <row r="5" spans="1:24" ht="14.25" customHeight="1" x14ac:dyDescent="0.2">
      <c r="A5" s="8" t="s">
        <v>3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1"/>
      <c r="W5" s="12"/>
      <c r="X5" s="1"/>
    </row>
    <row r="6" spans="1:24" ht="14.25" customHeight="1" x14ac:dyDescent="0.2">
      <c r="A6" s="123" t="s">
        <v>171</v>
      </c>
      <c r="B6" s="115"/>
      <c r="C6" s="115"/>
      <c r="D6" s="115"/>
      <c r="E6" s="115"/>
      <c r="F6" s="7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1"/>
      <c r="W6" s="12"/>
      <c r="X6" s="1"/>
    </row>
    <row r="7" spans="1:24" ht="14.25" customHeight="1" x14ac:dyDescent="0.2">
      <c r="A7" s="123" t="s">
        <v>172</v>
      </c>
      <c r="B7" s="115"/>
      <c r="C7" s="115"/>
      <c r="D7" s="115"/>
      <c r="E7" s="115"/>
      <c r="F7" s="7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1"/>
      <c r="W7" s="12"/>
      <c r="X7" s="1"/>
    </row>
    <row r="8" spans="1:24" ht="14.25" customHeight="1" x14ac:dyDescent="0.2">
      <c r="A8" s="5"/>
      <c r="B8" s="5"/>
      <c r="C8" s="5"/>
      <c r="D8" s="10"/>
      <c r="E8" s="1"/>
      <c r="F8" s="1"/>
      <c r="G8" s="1"/>
      <c r="H8" s="2"/>
      <c r="I8" s="2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4"/>
      <c r="V8" s="1"/>
      <c r="W8" s="12"/>
      <c r="X8" s="1"/>
    </row>
    <row r="9" spans="1:24" ht="14.25" customHeight="1" x14ac:dyDescent="0.2">
      <c r="A9" s="5"/>
      <c r="B9" s="5"/>
      <c r="C9" s="5"/>
      <c r="D9" s="11"/>
      <c r="E9" s="1"/>
      <c r="F9" s="1"/>
      <c r="G9" s="1"/>
      <c r="H9" s="2"/>
      <c r="I9" s="2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4"/>
      <c r="V9" s="1"/>
      <c r="W9" s="12"/>
      <c r="X9" s="1"/>
    </row>
    <row r="10" spans="1:24" ht="14.25" customHeight="1" x14ac:dyDescent="0.2">
      <c r="A10" s="124" t="s">
        <v>4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</row>
    <row r="11" spans="1:24" ht="14.25" customHeight="1" x14ac:dyDescent="0.2">
      <c r="A11" s="1"/>
      <c r="B11" s="1"/>
      <c r="C11" s="1"/>
      <c r="D11" s="1"/>
      <c r="E11" s="1"/>
      <c r="F11" s="1"/>
      <c r="G11" s="1"/>
      <c r="H11" s="2"/>
      <c r="I11" s="2"/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4"/>
      <c r="V11" s="1"/>
      <c r="W11" s="12"/>
      <c r="X11" s="1"/>
    </row>
    <row r="12" spans="1:24" ht="21" customHeight="1" x14ac:dyDescent="0.2">
      <c r="A12" s="114" t="s">
        <v>5</v>
      </c>
      <c r="B12" s="115"/>
      <c r="C12" s="115"/>
      <c r="D12" s="115"/>
      <c r="E12" s="115"/>
      <c r="F12" s="115"/>
      <c r="G12" s="115"/>
      <c r="H12" s="115"/>
      <c r="I12" s="115"/>
      <c r="J12" s="113"/>
      <c r="K12" s="116" t="s">
        <v>6</v>
      </c>
      <c r="L12" s="114" t="s">
        <v>7</v>
      </c>
      <c r="M12" s="113"/>
      <c r="N12" s="116" t="s">
        <v>8</v>
      </c>
      <c r="O12" s="116" t="s">
        <v>9</v>
      </c>
      <c r="P12" s="114" t="s">
        <v>10</v>
      </c>
      <c r="Q12" s="113"/>
      <c r="R12" s="116" t="s">
        <v>11</v>
      </c>
      <c r="S12" s="114" t="s">
        <v>12</v>
      </c>
      <c r="T12" s="115"/>
      <c r="U12" s="115"/>
      <c r="V12" s="115"/>
      <c r="W12" s="115"/>
      <c r="X12" s="113"/>
    </row>
    <row r="13" spans="1:24" ht="14.25" customHeight="1" x14ac:dyDescent="0.2">
      <c r="A13" s="114" t="s">
        <v>13</v>
      </c>
      <c r="B13" s="113"/>
      <c r="C13" s="116" t="s">
        <v>14</v>
      </c>
      <c r="D13" s="116" t="s">
        <v>15</v>
      </c>
      <c r="E13" s="114" t="s">
        <v>16</v>
      </c>
      <c r="F13" s="113"/>
      <c r="G13" s="116" t="s">
        <v>17</v>
      </c>
      <c r="H13" s="114" t="s">
        <v>18</v>
      </c>
      <c r="I13" s="113"/>
      <c r="J13" s="126" t="s">
        <v>19</v>
      </c>
      <c r="K13" s="117"/>
      <c r="L13" s="13" t="s">
        <v>20</v>
      </c>
      <c r="M13" s="13" t="s">
        <v>21</v>
      </c>
      <c r="N13" s="117"/>
      <c r="O13" s="117"/>
      <c r="P13" s="14" t="s">
        <v>22</v>
      </c>
      <c r="Q13" s="14" t="s">
        <v>23</v>
      </c>
      <c r="R13" s="117"/>
      <c r="S13" s="15" t="s">
        <v>24</v>
      </c>
      <c r="T13" s="16" t="s">
        <v>25</v>
      </c>
      <c r="U13" s="15" t="s">
        <v>26</v>
      </c>
      <c r="V13" s="17" t="s">
        <v>25</v>
      </c>
      <c r="W13" s="18" t="s">
        <v>27</v>
      </c>
      <c r="X13" s="17" t="s">
        <v>25</v>
      </c>
    </row>
    <row r="14" spans="1:24" ht="25.5" customHeight="1" x14ac:dyDescent="0.2">
      <c r="A14" s="15" t="s">
        <v>28</v>
      </c>
      <c r="B14" s="15" t="s">
        <v>16</v>
      </c>
      <c r="C14" s="117"/>
      <c r="D14" s="117"/>
      <c r="E14" s="14" t="s">
        <v>29</v>
      </c>
      <c r="F14" s="14" t="s">
        <v>30</v>
      </c>
      <c r="G14" s="117"/>
      <c r="H14" s="14" t="s">
        <v>28</v>
      </c>
      <c r="I14" s="14" t="s">
        <v>16</v>
      </c>
      <c r="J14" s="117"/>
      <c r="K14" s="15" t="s">
        <v>31</v>
      </c>
      <c r="L14" s="14" t="s">
        <v>32</v>
      </c>
      <c r="M14" s="14" t="s">
        <v>33</v>
      </c>
      <c r="N14" s="14" t="s">
        <v>34</v>
      </c>
      <c r="O14" s="14" t="s">
        <v>35</v>
      </c>
      <c r="P14" s="14" t="s">
        <v>36</v>
      </c>
      <c r="Q14" s="14" t="s">
        <v>37</v>
      </c>
      <c r="R14" s="15" t="s">
        <v>38</v>
      </c>
      <c r="S14" s="19" t="s">
        <v>39</v>
      </c>
      <c r="T14" s="20" t="s">
        <v>40</v>
      </c>
      <c r="U14" s="19" t="s">
        <v>41</v>
      </c>
      <c r="V14" s="20" t="s">
        <v>42</v>
      </c>
      <c r="W14" s="18" t="s">
        <v>43</v>
      </c>
      <c r="X14" s="20" t="s">
        <v>44</v>
      </c>
    </row>
    <row r="15" spans="1:24" ht="63" customHeight="1" x14ac:dyDescent="0.2">
      <c r="A15" s="21" t="s">
        <v>45</v>
      </c>
      <c r="B15" s="22" t="s">
        <v>46</v>
      </c>
      <c r="C15" s="22" t="s">
        <v>47</v>
      </c>
      <c r="D15" s="22" t="s">
        <v>48</v>
      </c>
      <c r="E15" s="22" t="s">
        <v>49</v>
      </c>
      <c r="F15" s="22" t="s">
        <v>50</v>
      </c>
      <c r="G15" s="22" t="s">
        <v>51</v>
      </c>
      <c r="H15" s="22" t="s">
        <v>52</v>
      </c>
      <c r="I15" s="22" t="s">
        <v>53</v>
      </c>
      <c r="J15" s="23">
        <v>3</v>
      </c>
      <c r="K15" s="24">
        <v>500000</v>
      </c>
      <c r="L15" s="24">
        <v>0</v>
      </c>
      <c r="M15" s="24">
        <v>0</v>
      </c>
      <c r="N15" s="25">
        <f t="shared" ref="N15:N29" si="0">K15+L15-M15</f>
        <v>500000</v>
      </c>
      <c r="O15" s="26"/>
      <c r="P15" s="26"/>
      <c r="Q15" s="26"/>
      <c r="R15" s="25">
        <f t="shared" ref="R15:R29" si="1">N15-O15+P15+Q15</f>
        <v>500000</v>
      </c>
      <c r="S15" s="24">
        <v>0</v>
      </c>
      <c r="T15" s="27">
        <f t="shared" ref="T15:T30" si="2">IF(R15&gt;0,S15/R15,0)</f>
        <v>0</v>
      </c>
      <c r="U15" s="28">
        <v>0</v>
      </c>
      <c r="V15" s="27">
        <f t="shared" ref="V15:V30" si="3">IF(R15&gt;0,U15/R15,0)</f>
        <v>0</v>
      </c>
      <c r="W15" s="24">
        <v>0</v>
      </c>
      <c r="X15" s="27">
        <f t="shared" ref="X15:X30" si="4">IF(R15&gt;0,W15/R15,0)</f>
        <v>0</v>
      </c>
    </row>
    <row r="16" spans="1:24" ht="63" customHeight="1" x14ac:dyDescent="0.2">
      <c r="A16" s="21" t="s">
        <v>45</v>
      </c>
      <c r="B16" s="22" t="s">
        <v>46</v>
      </c>
      <c r="C16" s="22" t="s">
        <v>47</v>
      </c>
      <c r="D16" s="22" t="s">
        <v>54</v>
      </c>
      <c r="E16" s="22" t="s">
        <v>49</v>
      </c>
      <c r="F16" s="22" t="s">
        <v>55</v>
      </c>
      <c r="G16" s="22" t="s">
        <v>51</v>
      </c>
      <c r="H16" s="22" t="s">
        <v>52</v>
      </c>
      <c r="I16" s="22" t="s">
        <v>53</v>
      </c>
      <c r="J16" s="23">
        <v>3</v>
      </c>
      <c r="K16" s="24">
        <v>68272700</v>
      </c>
      <c r="L16" s="24">
        <v>0</v>
      </c>
      <c r="M16" s="24">
        <v>0</v>
      </c>
      <c r="N16" s="25">
        <f t="shared" si="0"/>
        <v>68272700</v>
      </c>
      <c r="O16" s="26"/>
      <c r="P16" s="26"/>
      <c r="Q16" s="26"/>
      <c r="R16" s="25">
        <f t="shared" si="1"/>
        <v>68272700</v>
      </c>
      <c r="S16" s="24">
        <v>45965442.670000002</v>
      </c>
      <c r="T16" s="27">
        <f t="shared" si="2"/>
        <v>0.67326241191574376</v>
      </c>
      <c r="U16" s="28">
        <v>45965442.670000002</v>
      </c>
      <c r="V16" s="27">
        <f t="shared" si="3"/>
        <v>0.67326241191574376</v>
      </c>
      <c r="W16" s="24">
        <v>45965442.670000002</v>
      </c>
      <c r="X16" s="27">
        <f t="shared" si="4"/>
        <v>0.67326241191574376</v>
      </c>
    </row>
    <row r="17" spans="1:24" ht="63" customHeight="1" x14ac:dyDescent="0.2">
      <c r="A17" s="21" t="s">
        <v>45</v>
      </c>
      <c r="B17" s="22" t="s">
        <v>46</v>
      </c>
      <c r="C17" s="22" t="s">
        <v>47</v>
      </c>
      <c r="D17" s="22" t="s">
        <v>56</v>
      </c>
      <c r="E17" s="22" t="s">
        <v>49</v>
      </c>
      <c r="F17" s="22" t="s">
        <v>57</v>
      </c>
      <c r="G17" s="22" t="s">
        <v>51</v>
      </c>
      <c r="H17" s="22" t="s">
        <v>52</v>
      </c>
      <c r="I17" s="22" t="s">
        <v>53</v>
      </c>
      <c r="J17" s="30">
        <v>1</v>
      </c>
      <c r="K17" s="24">
        <v>414524310</v>
      </c>
      <c r="L17" s="24">
        <v>6704796.0800000001</v>
      </c>
      <c r="M17" s="24">
        <v>6704796.0800000001</v>
      </c>
      <c r="N17" s="25">
        <f t="shared" si="0"/>
        <v>414524310</v>
      </c>
      <c r="O17" s="26"/>
      <c r="P17" s="26"/>
      <c r="Q17" s="26"/>
      <c r="R17" s="25">
        <f t="shared" si="1"/>
        <v>414524310</v>
      </c>
      <c r="S17" s="24">
        <v>256943859.66999999</v>
      </c>
      <c r="T17" s="27">
        <f t="shared" si="2"/>
        <v>0.61985233066306766</v>
      </c>
      <c r="U17" s="31">
        <v>256732232.75</v>
      </c>
      <c r="V17" s="27">
        <f t="shared" si="3"/>
        <v>0.61934180108761294</v>
      </c>
      <c r="W17" s="24">
        <v>256732232.75</v>
      </c>
      <c r="X17" s="27">
        <f t="shared" si="4"/>
        <v>0.61934180108761294</v>
      </c>
    </row>
    <row r="18" spans="1:24" ht="63" customHeight="1" x14ac:dyDescent="0.2">
      <c r="A18" s="21" t="s">
        <v>45</v>
      </c>
      <c r="B18" s="22" t="s">
        <v>46</v>
      </c>
      <c r="C18" s="32" t="s">
        <v>47</v>
      </c>
      <c r="D18" s="32" t="s">
        <v>58</v>
      </c>
      <c r="E18" s="22" t="s">
        <v>49</v>
      </c>
      <c r="F18" s="32" t="s">
        <v>59</v>
      </c>
      <c r="G18" s="32" t="s">
        <v>51</v>
      </c>
      <c r="H18" s="22" t="s">
        <v>52</v>
      </c>
      <c r="I18" s="32" t="s">
        <v>60</v>
      </c>
      <c r="J18" s="30">
        <v>1</v>
      </c>
      <c r="K18" s="33">
        <v>500000</v>
      </c>
      <c r="L18" s="34">
        <v>0</v>
      </c>
      <c r="M18" s="34">
        <v>0</v>
      </c>
      <c r="N18" s="25">
        <f t="shared" si="0"/>
        <v>500000</v>
      </c>
      <c r="O18" s="35"/>
      <c r="P18" s="35"/>
      <c r="Q18" s="35"/>
      <c r="R18" s="25">
        <f t="shared" si="1"/>
        <v>500000</v>
      </c>
      <c r="S18" s="36">
        <v>23808</v>
      </c>
      <c r="T18" s="37">
        <f t="shared" si="2"/>
        <v>4.7615999999999999E-2</v>
      </c>
      <c r="U18" s="31">
        <v>23808</v>
      </c>
      <c r="V18" s="37">
        <f t="shared" si="3"/>
        <v>4.7615999999999999E-2</v>
      </c>
      <c r="W18" s="34">
        <v>23808</v>
      </c>
      <c r="X18" s="37">
        <f t="shared" si="4"/>
        <v>4.7615999999999999E-2</v>
      </c>
    </row>
    <row r="19" spans="1:24" ht="63" customHeight="1" x14ac:dyDescent="0.2">
      <c r="A19" s="21" t="s">
        <v>45</v>
      </c>
      <c r="B19" s="22" t="s">
        <v>46</v>
      </c>
      <c r="C19" s="22" t="s">
        <v>47</v>
      </c>
      <c r="D19" s="22" t="s">
        <v>61</v>
      </c>
      <c r="E19" s="22" t="s">
        <v>62</v>
      </c>
      <c r="F19" s="22" t="s">
        <v>63</v>
      </c>
      <c r="G19" s="22" t="s">
        <v>51</v>
      </c>
      <c r="H19" s="22" t="s">
        <v>52</v>
      </c>
      <c r="I19" s="22" t="s">
        <v>53</v>
      </c>
      <c r="J19" s="23">
        <v>3</v>
      </c>
      <c r="K19" s="24">
        <v>18400000</v>
      </c>
      <c r="L19" s="24">
        <v>0</v>
      </c>
      <c r="M19" s="24">
        <v>0</v>
      </c>
      <c r="N19" s="25">
        <f t="shared" si="0"/>
        <v>18400000</v>
      </c>
      <c r="O19" s="26"/>
      <c r="P19" s="26"/>
      <c r="Q19" s="26"/>
      <c r="R19" s="25">
        <f t="shared" si="1"/>
        <v>18400000</v>
      </c>
      <c r="S19" s="24">
        <v>13087717.48</v>
      </c>
      <c r="T19" s="27">
        <f t="shared" si="2"/>
        <v>0.71128899347826091</v>
      </c>
      <c r="U19" s="28">
        <v>13087717.48</v>
      </c>
      <c r="V19" s="27">
        <f t="shared" si="3"/>
        <v>0.71128899347826091</v>
      </c>
      <c r="W19" s="24">
        <v>13087717.48</v>
      </c>
      <c r="X19" s="27">
        <f t="shared" si="4"/>
        <v>0.71128899347826091</v>
      </c>
    </row>
    <row r="20" spans="1:24" ht="63" customHeight="1" x14ac:dyDescent="0.2">
      <c r="A20" s="21" t="s">
        <v>45</v>
      </c>
      <c r="B20" s="22" t="s">
        <v>46</v>
      </c>
      <c r="C20" s="22" t="s">
        <v>47</v>
      </c>
      <c r="D20" s="22" t="s">
        <v>64</v>
      </c>
      <c r="E20" s="22" t="s">
        <v>62</v>
      </c>
      <c r="F20" s="22" t="s">
        <v>65</v>
      </c>
      <c r="G20" s="22" t="s">
        <v>51</v>
      </c>
      <c r="H20" s="22" t="s">
        <v>52</v>
      </c>
      <c r="I20" s="22" t="s">
        <v>53</v>
      </c>
      <c r="J20" s="30">
        <v>1</v>
      </c>
      <c r="K20" s="24">
        <v>105706108</v>
      </c>
      <c r="L20" s="24">
        <v>3246610.07</v>
      </c>
      <c r="M20" s="24">
        <v>3246610.07</v>
      </c>
      <c r="N20" s="25">
        <f t="shared" si="0"/>
        <v>105706108</v>
      </c>
      <c r="O20" s="26"/>
      <c r="P20" s="26"/>
      <c r="Q20" s="26"/>
      <c r="R20" s="25">
        <f t="shared" si="1"/>
        <v>105706108</v>
      </c>
      <c r="S20" s="24">
        <v>64207450.630000003</v>
      </c>
      <c r="T20" s="27">
        <f t="shared" si="2"/>
        <v>0.60741476386586857</v>
      </c>
      <c r="U20" s="31">
        <v>64087450.630000003</v>
      </c>
      <c r="V20" s="27">
        <f t="shared" si="3"/>
        <v>0.60627954091356762</v>
      </c>
      <c r="W20" s="24">
        <v>64047450.630000003</v>
      </c>
      <c r="X20" s="27">
        <f t="shared" si="4"/>
        <v>0.60590113326280071</v>
      </c>
    </row>
    <row r="21" spans="1:24" ht="63" customHeight="1" x14ac:dyDescent="0.2">
      <c r="A21" s="21" t="s">
        <v>45</v>
      </c>
      <c r="B21" s="22" t="s">
        <v>46</v>
      </c>
      <c r="C21" s="22" t="s">
        <v>47</v>
      </c>
      <c r="D21" s="22" t="s">
        <v>66</v>
      </c>
      <c r="E21" s="22" t="s">
        <v>62</v>
      </c>
      <c r="F21" s="22" t="s">
        <v>67</v>
      </c>
      <c r="G21" s="22" t="s">
        <v>51</v>
      </c>
      <c r="H21" s="22" t="s">
        <v>52</v>
      </c>
      <c r="I21" s="22" t="s">
        <v>53</v>
      </c>
      <c r="J21" s="30">
        <v>1</v>
      </c>
      <c r="K21" s="24">
        <v>116644198</v>
      </c>
      <c r="L21" s="24">
        <v>93022.02</v>
      </c>
      <c r="M21" s="24">
        <v>93022.02</v>
      </c>
      <c r="N21" s="25">
        <f t="shared" si="0"/>
        <v>116644198</v>
      </c>
      <c r="O21" s="26"/>
      <c r="P21" s="26"/>
      <c r="Q21" s="26"/>
      <c r="R21" s="25">
        <f t="shared" si="1"/>
        <v>116644198</v>
      </c>
      <c r="S21" s="24">
        <v>74440541.609999999</v>
      </c>
      <c r="T21" s="27">
        <f t="shared" si="2"/>
        <v>0.63818469230677033</v>
      </c>
      <c r="U21" s="31">
        <v>74430671.400000006</v>
      </c>
      <c r="V21" s="27">
        <f t="shared" si="3"/>
        <v>0.63810007421029213</v>
      </c>
      <c r="W21" s="24">
        <v>74430671.400000006</v>
      </c>
      <c r="X21" s="27">
        <f t="shared" si="4"/>
        <v>0.63810007421029213</v>
      </c>
    </row>
    <row r="22" spans="1:24" ht="63" customHeight="1" x14ac:dyDescent="0.2">
      <c r="A22" s="21" t="s">
        <v>45</v>
      </c>
      <c r="B22" s="22" t="s">
        <v>46</v>
      </c>
      <c r="C22" s="22" t="s">
        <v>47</v>
      </c>
      <c r="D22" s="22" t="s">
        <v>68</v>
      </c>
      <c r="E22" s="22" t="s">
        <v>62</v>
      </c>
      <c r="F22" s="22" t="s">
        <v>69</v>
      </c>
      <c r="G22" s="22" t="s">
        <v>51</v>
      </c>
      <c r="H22" s="22" t="s">
        <v>52</v>
      </c>
      <c r="I22" s="22" t="s">
        <v>53</v>
      </c>
      <c r="J22" s="23">
        <v>3</v>
      </c>
      <c r="K22" s="24">
        <v>19300000</v>
      </c>
      <c r="L22" s="24">
        <v>0</v>
      </c>
      <c r="M22" s="24">
        <v>0</v>
      </c>
      <c r="N22" s="25">
        <f t="shared" si="0"/>
        <v>19300000</v>
      </c>
      <c r="O22" s="26"/>
      <c r="P22" s="26"/>
      <c r="Q22" s="26"/>
      <c r="R22" s="25">
        <f t="shared" si="1"/>
        <v>19300000</v>
      </c>
      <c r="S22" s="24">
        <v>14127218.42</v>
      </c>
      <c r="T22" s="27">
        <f t="shared" si="2"/>
        <v>0.73198022901554405</v>
      </c>
      <c r="U22" s="28">
        <v>14127218.42</v>
      </c>
      <c r="V22" s="27">
        <f t="shared" si="3"/>
        <v>0.73198022901554405</v>
      </c>
      <c r="W22" s="24">
        <v>14127218.42</v>
      </c>
      <c r="X22" s="27">
        <f t="shared" si="4"/>
        <v>0.73198022901554405</v>
      </c>
    </row>
    <row r="23" spans="1:24" ht="63" customHeight="1" x14ac:dyDescent="0.2">
      <c r="A23" s="21" t="s">
        <v>45</v>
      </c>
      <c r="B23" s="22" t="s">
        <v>46</v>
      </c>
      <c r="C23" s="22" t="s">
        <v>70</v>
      </c>
      <c r="D23" s="22" t="s">
        <v>71</v>
      </c>
      <c r="E23" s="22" t="s">
        <v>62</v>
      </c>
      <c r="F23" s="22" t="s">
        <v>72</v>
      </c>
      <c r="G23" s="22" t="s">
        <v>51</v>
      </c>
      <c r="H23" s="22" t="s">
        <v>52</v>
      </c>
      <c r="I23" s="22" t="s">
        <v>60</v>
      </c>
      <c r="J23" s="23">
        <v>3</v>
      </c>
      <c r="K23" s="24">
        <v>1500000</v>
      </c>
      <c r="L23" s="24">
        <v>0</v>
      </c>
      <c r="M23" s="24">
        <v>0</v>
      </c>
      <c r="N23" s="25">
        <f t="shared" si="0"/>
        <v>1500000</v>
      </c>
      <c r="O23" s="26"/>
      <c r="P23" s="26"/>
      <c r="Q23" s="26"/>
      <c r="R23" s="25">
        <f t="shared" si="1"/>
        <v>1500000</v>
      </c>
      <c r="S23" s="24">
        <v>1290391.17</v>
      </c>
      <c r="T23" s="27">
        <f t="shared" si="2"/>
        <v>0.86026077999999995</v>
      </c>
      <c r="U23" s="28">
        <v>1290391.17</v>
      </c>
      <c r="V23" s="27">
        <f t="shared" si="3"/>
        <v>0.86026077999999995</v>
      </c>
      <c r="W23" s="24">
        <v>1290391.17</v>
      </c>
      <c r="X23" s="27">
        <f t="shared" si="4"/>
        <v>0.86026077999999995</v>
      </c>
    </row>
    <row r="24" spans="1:24" ht="63" customHeight="1" x14ac:dyDescent="0.2">
      <c r="A24" s="21" t="s">
        <v>45</v>
      </c>
      <c r="B24" s="22" t="s">
        <v>46</v>
      </c>
      <c r="C24" s="22" t="s">
        <v>73</v>
      </c>
      <c r="D24" s="22" t="s">
        <v>74</v>
      </c>
      <c r="E24" s="32" t="s">
        <v>62</v>
      </c>
      <c r="F24" s="22" t="s">
        <v>75</v>
      </c>
      <c r="G24" s="22" t="s">
        <v>51</v>
      </c>
      <c r="H24" s="22" t="s">
        <v>52</v>
      </c>
      <c r="I24" s="22" t="s">
        <v>53</v>
      </c>
      <c r="J24" s="30">
        <v>1</v>
      </c>
      <c r="K24" s="33">
        <v>400000</v>
      </c>
      <c r="L24" s="24">
        <v>0</v>
      </c>
      <c r="M24" s="24">
        <v>0</v>
      </c>
      <c r="N24" s="25">
        <f t="shared" si="0"/>
        <v>400000</v>
      </c>
      <c r="O24" s="25"/>
      <c r="P24" s="25"/>
      <c r="Q24" s="25"/>
      <c r="R24" s="25">
        <f t="shared" si="1"/>
        <v>400000</v>
      </c>
      <c r="S24" s="34">
        <v>35440</v>
      </c>
      <c r="T24" s="27">
        <f t="shared" si="2"/>
        <v>8.8599999999999998E-2</v>
      </c>
      <c r="U24" s="31">
        <v>35440</v>
      </c>
      <c r="V24" s="27">
        <f t="shared" si="3"/>
        <v>8.8599999999999998E-2</v>
      </c>
      <c r="W24" s="24">
        <v>35440</v>
      </c>
      <c r="X24" s="27">
        <f t="shared" si="4"/>
        <v>8.8599999999999998E-2</v>
      </c>
    </row>
    <row r="25" spans="1:24" ht="63" customHeight="1" x14ac:dyDescent="0.2">
      <c r="A25" s="21" t="s">
        <v>45</v>
      </c>
      <c r="B25" s="22" t="s">
        <v>46</v>
      </c>
      <c r="C25" s="22" t="s">
        <v>76</v>
      </c>
      <c r="D25" s="22" t="s">
        <v>77</v>
      </c>
      <c r="E25" s="22" t="s">
        <v>62</v>
      </c>
      <c r="F25" s="22" t="s">
        <v>78</v>
      </c>
      <c r="G25" s="22" t="s">
        <v>51</v>
      </c>
      <c r="H25" s="22" t="s">
        <v>52</v>
      </c>
      <c r="I25" s="22" t="s">
        <v>60</v>
      </c>
      <c r="J25" s="30">
        <v>1</v>
      </c>
      <c r="K25" s="24">
        <f>122077300-K26</f>
        <v>116550000</v>
      </c>
      <c r="L25" s="24">
        <v>20700000</v>
      </c>
      <c r="M25" s="24">
        <v>20700000</v>
      </c>
      <c r="N25" s="25">
        <f t="shared" si="0"/>
        <v>116550000</v>
      </c>
      <c r="O25" s="25"/>
      <c r="P25" s="25"/>
      <c r="Q25" s="25">
        <f>-5618200-16953150</f>
        <v>-22571350</v>
      </c>
      <c r="R25" s="25">
        <f t="shared" si="1"/>
        <v>93978650</v>
      </c>
      <c r="S25" s="24">
        <f>42108824.44-S26</f>
        <v>38258435.119999997</v>
      </c>
      <c r="T25" s="27">
        <f t="shared" si="2"/>
        <v>0.40709709194588345</v>
      </c>
      <c r="U25" s="31">
        <f>41947833.82-U26</f>
        <v>38097444.5</v>
      </c>
      <c r="V25" s="27">
        <f t="shared" si="3"/>
        <v>0.40538403669344047</v>
      </c>
      <c r="W25" s="24">
        <f>39802099.49-W26</f>
        <v>35951710.170000002</v>
      </c>
      <c r="X25" s="27">
        <f t="shared" si="4"/>
        <v>0.38255188992393485</v>
      </c>
    </row>
    <row r="26" spans="1:24" ht="63" customHeight="1" x14ac:dyDescent="0.2">
      <c r="A26" s="21" t="s">
        <v>45</v>
      </c>
      <c r="B26" s="22" t="s">
        <v>46</v>
      </c>
      <c r="C26" s="22" t="s">
        <v>76</v>
      </c>
      <c r="D26" s="22" t="s">
        <v>77</v>
      </c>
      <c r="E26" s="22" t="s">
        <v>62</v>
      </c>
      <c r="F26" s="22" t="s">
        <v>78</v>
      </c>
      <c r="G26" s="22" t="s">
        <v>51</v>
      </c>
      <c r="H26" s="22" t="s">
        <v>52</v>
      </c>
      <c r="I26" s="22" t="s">
        <v>60</v>
      </c>
      <c r="J26" s="23">
        <v>3</v>
      </c>
      <c r="K26" s="24">
        <f>5527300</f>
        <v>5527300</v>
      </c>
      <c r="L26" s="24">
        <v>0</v>
      </c>
      <c r="M26" s="24">
        <v>0</v>
      </c>
      <c r="N26" s="25">
        <f t="shared" si="0"/>
        <v>5527300</v>
      </c>
      <c r="O26" s="25"/>
      <c r="P26" s="25"/>
      <c r="Q26" s="25"/>
      <c r="R26" s="25">
        <f t="shared" si="1"/>
        <v>5527300</v>
      </c>
      <c r="S26" s="24">
        <f>277981.68+3572407.64</f>
        <v>3850389.3200000003</v>
      </c>
      <c r="T26" s="27">
        <f t="shared" si="2"/>
        <v>0.69661305158033771</v>
      </c>
      <c r="U26" s="28">
        <f>277981.68+3572407.64</f>
        <v>3850389.3200000003</v>
      </c>
      <c r="V26" s="27">
        <f t="shared" si="3"/>
        <v>0.69661305158033771</v>
      </c>
      <c r="W26" s="24">
        <f>277981.68+3572407.64</f>
        <v>3850389.3200000003</v>
      </c>
      <c r="X26" s="27">
        <f t="shared" si="4"/>
        <v>0.69661305158033771</v>
      </c>
    </row>
    <row r="27" spans="1:24" ht="63" hidden="1" customHeight="1" x14ac:dyDescent="0.2">
      <c r="A27" s="21" t="s">
        <v>45</v>
      </c>
      <c r="B27" s="22" t="s">
        <v>46</v>
      </c>
      <c r="C27" s="22" t="s">
        <v>76</v>
      </c>
      <c r="D27" s="22" t="s">
        <v>77</v>
      </c>
      <c r="E27" s="22" t="s">
        <v>62</v>
      </c>
      <c r="F27" s="22" t="s">
        <v>78</v>
      </c>
      <c r="G27" s="22" t="s">
        <v>51</v>
      </c>
      <c r="H27" s="22" t="s">
        <v>79</v>
      </c>
      <c r="I27" s="22" t="s">
        <v>60</v>
      </c>
      <c r="J27" s="30">
        <v>1</v>
      </c>
      <c r="K27" s="24"/>
      <c r="L27" s="24"/>
      <c r="M27" s="24"/>
      <c r="N27" s="25">
        <f t="shared" si="0"/>
        <v>0</v>
      </c>
      <c r="O27" s="25"/>
      <c r="P27" s="25"/>
      <c r="Q27" s="25"/>
      <c r="R27" s="25">
        <f t="shared" si="1"/>
        <v>0</v>
      </c>
      <c r="S27" s="24"/>
      <c r="T27" s="27">
        <f t="shared" si="2"/>
        <v>0</v>
      </c>
      <c r="U27" s="31"/>
      <c r="V27" s="27">
        <f t="shared" si="3"/>
        <v>0</v>
      </c>
      <c r="W27" s="24"/>
      <c r="X27" s="27">
        <f t="shared" si="4"/>
        <v>0</v>
      </c>
    </row>
    <row r="28" spans="1:24" ht="63" customHeight="1" x14ac:dyDescent="0.2">
      <c r="A28" s="21" t="s">
        <v>45</v>
      </c>
      <c r="B28" s="22" t="s">
        <v>46</v>
      </c>
      <c r="C28" s="22" t="s">
        <v>80</v>
      </c>
      <c r="D28" s="22" t="s">
        <v>81</v>
      </c>
      <c r="E28" s="22" t="s">
        <v>62</v>
      </c>
      <c r="F28" s="22" t="s">
        <v>82</v>
      </c>
      <c r="G28" s="22" t="s">
        <v>51</v>
      </c>
      <c r="H28" s="22" t="s">
        <v>52</v>
      </c>
      <c r="I28" s="22" t="s">
        <v>60</v>
      </c>
      <c r="J28" s="30">
        <v>1</v>
      </c>
      <c r="K28" s="24">
        <v>1444384</v>
      </c>
      <c r="L28" s="24">
        <v>0</v>
      </c>
      <c r="M28" s="24">
        <v>0</v>
      </c>
      <c r="N28" s="25">
        <f t="shared" si="0"/>
        <v>1444384</v>
      </c>
      <c r="O28" s="25"/>
      <c r="P28" s="25"/>
      <c r="Q28" s="25"/>
      <c r="R28" s="25">
        <f t="shared" si="1"/>
        <v>1444384</v>
      </c>
      <c r="S28" s="24">
        <v>2181.91</v>
      </c>
      <c r="T28" s="27">
        <f t="shared" si="2"/>
        <v>1.5106162904047675E-3</v>
      </c>
      <c r="U28" s="31">
        <v>2181.91</v>
      </c>
      <c r="V28" s="27">
        <f t="shared" si="3"/>
        <v>1.5106162904047675E-3</v>
      </c>
      <c r="W28" s="24">
        <v>2181.91</v>
      </c>
      <c r="X28" s="27">
        <f t="shared" si="4"/>
        <v>1.5106162904047675E-3</v>
      </c>
    </row>
    <row r="29" spans="1:24" ht="63" hidden="1" customHeight="1" x14ac:dyDescent="0.2">
      <c r="A29" s="21" t="s">
        <v>45</v>
      </c>
      <c r="B29" s="22" t="s">
        <v>46</v>
      </c>
      <c r="C29" s="22" t="s">
        <v>80</v>
      </c>
      <c r="D29" s="22" t="s">
        <v>81</v>
      </c>
      <c r="E29" s="22" t="s">
        <v>62</v>
      </c>
      <c r="F29" s="22" t="s">
        <v>82</v>
      </c>
      <c r="G29" s="22" t="s">
        <v>51</v>
      </c>
      <c r="H29" s="22" t="s">
        <v>79</v>
      </c>
      <c r="I29" s="22" t="s">
        <v>60</v>
      </c>
      <c r="J29" s="30">
        <v>1</v>
      </c>
      <c r="K29" s="24"/>
      <c r="L29" s="24"/>
      <c r="M29" s="24"/>
      <c r="N29" s="25">
        <f t="shared" si="0"/>
        <v>0</v>
      </c>
      <c r="O29" s="25"/>
      <c r="P29" s="25"/>
      <c r="Q29" s="25"/>
      <c r="R29" s="25">
        <f t="shared" si="1"/>
        <v>0</v>
      </c>
      <c r="S29" s="24"/>
      <c r="T29" s="27">
        <f t="shared" si="2"/>
        <v>0</v>
      </c>
      <c r="U29" s="31"/>
      <c r="V29" s="27">
        <f t="shared" si="3"/>
        <v>0</v>
      </c>
      <c r="W29" s="24"/>
      <c r="X29" s="27">
        <f t="shared" si="4"/>
        <v>0</v>
      </c>
    </row>
    <row r="30" spans="1:24" ht="15" customHeight="1" x14ac:dyDescent="0.2">
      <c r="A30" s="118" t="s">
        <v>83</v>
      </c>
      <c r="B30" s="115"/>
      <c r="C30" s="115"/>
      <c r="D30" s="115"/>
      <c r="E30" s="115"/>
      <c r="F30" s="115"/>
      <c r="G30" s="115"/>
      <c r="H30" s="115"/>
      <c r="I30" s="115"/>
      <c r="J30" s="113"/>
      <c r="K30" s="38">
        <f t="shared" ref="K30:N30" si="5">SUM(K15:K29)</f>
        <v>869269000</v>
      </c>
      <c r="L30" s="38">
        <f t="shared" si="5"/>
        <v>30744428.170000002</v>
      </c>
      <c r="M30" s="38">
        <f t="shared" si="5"/>
        <v>30744428.170000002</v>
      </c>
      <c r="N30" s="38">
        <f t="shared" si="5"/>
        <v>869269000</v>
      </c>
      <c r="O30" s="38">
        <f t="shared" ref="O30:P30" si="6">SUM(O15:O28)</f>
        <v>0</v>
      </c>
      <c r="P30" s="38">
        <f t="shared" si="6"/>
        <v>0</v>
      </c>
      <c r="Q30" s="38">
        <f t="shared" ref="Q30:S30" si="7">SUM(Q15:Q29)</f>
        <v>-22571350</v>
      </c>
      <c r="R30" s="38">
        <f t="shared" si="7"/>
        <v>846697650</v>
      </c>
      <c r="S30" s="38">
        <f t="shared" si="7"/>
        <v>512232876.00000006</v>
      </c>
      <c r="T30" s="39">
        <f t="shared" si="2"/>
        <v>0.60497732100709156</v>
      </c>
      <c r="U30" s="38">
        <f>SUM(U15:U29)</f>
        <v>511730388.25000012</v>
      </c>
      <c r="V30" s="39">
        <f t="shared" si="3"/>
        <v>0.60438385325623634</v>
      </c>
      <c r="W30" s="38">
        <f>SUM(W15:W29)</f>
        <v>509544653.92000014</v>
      </c>
      <c r="X30" s="39">
        <f t="shared" si="4"/>
        <v>0.60180237174391604</v>
      </c>
    </row>
    <row r="31" spans="1:24" ht="15" customHeight="1" x14ac:dyDescent="0.2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38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9"/>
      <c r="W31" s="38"/>
      <c r="X31" s="39"/>
    </row>
    <row r="32" spans="1:24" ht="15" customHeight="1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42"/>
      <c r="M32" s="42"/>
      <c r="N32" s="42"/>
      <c r="O32" s="42"/>
      <c r="P32" s="42"/>
      <c r="Q32" s="42"/>
      <c r="R32" s="42"/>
      <c r="S32" s="42"/>
      <c r="T32" s="37"/>
      <c r="U32" s="42"/>
      <c r="V32" s="37"/>
      <c r="W32" s="42"/>
      <c r="X32" s="37"/>
    </row>
    <row r="33" spans="1:24" ht="63" customHeight="1" x14ac:dyDescent="0.2">
      <c r="A33" s="21" t="s">
        <v>84</v>
      </c>
      <c r="B33" s="22" t="s">
        <v>85</v>
      </c>
      <c r="C33" s="22" t="s">
        <v>47</v>
      </c>
      <c r="D33" s="22" t="s">
        <v>86</v>
      </c>
      <c r="E33" s="32" t="s">
        <v>87</v>
      </c>
      <c r="F33" s="22" t="s">
        <v>88</v>
      </c>
      <c r="G33" s="22" t="s">
        <v>51</v>
      </c>
      <c r="H33" s="22" t="s">
        <v>89</v>
      </c>
      <c r="I33" s="22" t="s">
        <v>53</v>
      </c>
      <c r="J33" s="43">
        <v>4</v>
      </c>
      <c r="K33" s="44">
        <v>2000000</v>
      </c>
      <c r="L33" s="24">
        <v>0</v>
      </c>
      <c r="M33" s="24">
        <v>104217.92</v>
      </c>
      <c r="N33" s="25">
        <f t="shared" ref="N33:N80" si="8">K33+L33-M33</f>
        <v>1895782.08</v>
      </c>
      <c r="O33" s="25"/>
      <c r="P33" s="25"/>
      <c r="Q33" s="25"/>
      <c r="R33" s="25">
        <f t="shared" ref="R33:R80" si="9">N33-O33+P33+Q33</f>
        <v>1895782.08</v>
      </c>
      <c r="S33" s="44">
        <v>1883187.59</v>
      </c>
      <c r="T33" s="27">
        <f t="shared" ref="T33:T82" si="10">IF(R33&gt;0,S33/R33,0)</f>
        <v>0.99335657292424662</v>
      </c>
      <c r="U33" s="45">
        <v>1004337.75</v>
      </c>
      <c r="V33" s="27">
        <f t="shared" ref="V33:V82" si="11">IF(R33&gt;0,U33/R33,0)</f>
        <v>0.52977489374728126</v>
      </c>
      <c r="W33" s="24">
        <v>1004337.75</v>
      </c>
      <c r="X33" s="27">
        <f t="shared" ref="X33:X82" si="12">IF(R33&gt;0,W33/R33,0)</f>
        <v>0.52977489374728126</v>
      </c>
    </row>
    <row r="34" spans="1:24" ht="63" customHeight="1" x14ac:dyDescent="0.2">
      <c r="A34" s="21" t="s">
        <v>84</v>
      </c>
      <c r="B34" s="22" t="s">
        <v>85</v>
      </c>
      <c r="C34" s="22" t="s">
        <v>47</v>
      </c>
      <c r="D34" s="22" t="s">
        <v>90</v>
      </c>
      <c r="E34" s="32" t="s">
        <v>87</v>
      </c>
      <c r="F34" s="22" t="s">
        <v>88</v>
      </c>
      <c r="G34" s="22" t="s">
        <v>51</v>
      </c>
      <c r="H34" s="22" t="s">
        <v>91</v>
      </c>
      <c r="I34" s="22" t="s">
        <v>53</v>
      </c>
      <c r="J34" s="23">
        <v>3</v>
      </c>
      <c r="K34" s="44">
        <v>0</v>
      </c>
      <c r="L34" s="24">
        <v>989450.06</v>
      </c>
      <c r="M34" s="24">
        <v>0</v>
      </c>
      <c r="N34" s="25">
        <f t="shared" si="8"/>
        <v>989450.06</v>
      </c>
      <c r="O34" s="25"/>
      <c r="P34" s="25"/>
      <c r="Q34" s="25"/>
      <c r="R34" s="25">
        <f t="shared" si="9"/>
        <v>989450.06</v>
      </c>
      <c r="S34" s="44">
        <v>989450.06</v>
      </c>
      <c r="T34" s="27">
        <f t="shared" si="10"/>
        <v>1</v>
      </c>
      <c r="U34" s="54">
        <v>0</v>
      </c>
      <c r="V34" s="27">
        <f t="shared" si="11"/>
        <v>0</v>
      </c>
      <c r="W34" s="24">
        <v>0</v>
      </c>
      <c r="X34" s="27">
        <f t="shared" si="12"/>
        <v>0</v>
      </c>
    </row>
    <row r="35" spans="1:24" ht="63" customHeight="1" x14ac:dyDescent="0.2">
      <c r="A35" s="21" t="s">
        <v>84</v>
      </c>
      <c r="B35" s="22" t="s">
        <v>85</v>
      </c>
      <c r="C35" s="22" t="s">
        <v>47</v>
      </c>
      <c r="D35" s="22" t="s">
        <v>149</v>
      </c>
      <c r="E35" s="32" t="s">
        <v>87</v>
      </c>
      <c r="F35" s="22" t="s">
        <v>88</v>
      </c>
      <c r="G35" s="22" t="s">
        <v>51</v>
      </c>
      <c r="H35" s="22" t="s">
        <v>89</v>
      </c>
      <c r="I35" s="22" t="s">
        <v>53</v>
      </c>
      <c r="J35" s="43">
        <v>4</v>
      </c>
      <c r="K35" s="44">
        <v>0</v>
      </c>
      <c r="L35" s="24">
        <v>17200</v>
      </c>
      <c r="M35" s="24">
        <v>0</v>
      </c>
      <c r="N35" s="25">
        <f t="shared" si="8"/>
        <v>17200</v>
      </c>
      <c r="O35" s="25"/>
      <c r="P35" s="25"/>
      <c r="Q35" s="25"/>
      <c r="R35" s="25">
        <f t="shared" si="9"/>
        <v>17200</v>
      </c>
      <c r="S35" s="44">
        <v>0</v>
      </c>
      <c r="T35" s="27">
        <f t="shared" si="10"/>
        <v>0</v>
      </c>
      <c r="U35" s="45">
        <v>0</v>
      </c>
      <c r="V35" s="27">
        <f t="shared" si="11"/>
        <v>0</v>
      </c>
      <c r="W35" s="24">
        <v>0</v>
      </c>
      <c r="X35" s="27">
        <f t="shared" si="12"/>
        <v>0</v>
      </c>
    </row>
    <row r="36" spans="1:24" ht="63" customHeight="1" x14ac:dyDescent="0.2">
      <c r="A36" s="21" t="s">
        <v>84</v>
      </c>
      <c r="B36" s="22" t="s">
        <v>85</v>
      </c>
      <c r="C36" s="22" t="s">
        <v>47</v>
      </c>
      <c r="D36" s="22" t="s">
        <v>94</v>
      </c>
      <c r="E36" s="32" t="s">
        <v>87</v>
      </c>
      <c r="F36" s="22" t="s">
        <v>88</v>
      </c>
      <c r="G36" s="22" t="s">
        <v>51</v>
      </c>
      <c r="H36" s="22" t="s">
        <v>89</v>
      </c>
      <c r="I36" s="22" t="s">
        <v>53</v>
      </c>
      <c r="J36" s="23">
        <v>3</v>
      </c>
      <c r="K36" s="44">
        <v>0</v>
      </c>
      <c r="L36" s="24">
        <v>861515.9</v>
      </c>
      <c r="M36" s="24">
        <v>0</v>
      </c>
      <c r="N36" s="25">
        <f t="shared" si="8"/>
        <v>861515.9</v>
      </c>
      <c r="O36" s="25"/>
      <c r="P36" s="25"/>
      <c r="Q36" s="25"/>
      <c r="R36" s="25">
        <f t="shared" si="9"/>
        <v>861515.9</v>
      </c>
      <c r="S36" s="44">
        <v>844285.58</v>
      </c>
      <c r="T36" s="27">
        <f t="shared" si="10"/>
        <v>0.97999999767851054</v>
      </c>
      <c r="U36" s="28">
        <v>0</v>
      </c>
      <c r="V36" s="27">
        <f t="shared" si="11"/>
        <v>0</v>
      </c>
      <c r="W36" s="24">
        <v>0</v>
      </c>
      <c r="X36" s="27">
        <f t="shared" si="12"/>
        <v>0</v>
      </c>
    </row>
    <row r="37" spans="1:24" ht="63" customHeight="1" x14ac:dyDescent="0.2">
      <c r="A37" s="46" t="s">
        <v>84</v>
      </c>
      <c r="B37" s="22" t="s">
        <v>85</v>
      </c>
      <c r="C37" s="47" t="s">
        <v>47</v>
      </c>
      <c r="D37" s="47" t="s">
        <v>94</v>
      </c>
      <c r="E37" s="32" t="s">
        <v>87</v>
      </c>
      <c r="F37" s="22" t="s">
        <v>88</v>
      </c>
      <c r="G37" s="47" t="s">
        <v>51</v>
      </c>
      <c r="H37" s="47" t="s">
        <v>89</v>
      </c>
      <c r="I37" s="22" t="s">
        <v>53</v>
      </c>
      <c r="J37" s="48">
        <v>4</v>
      </c>
      <c r="K37" s="44">
        <v>0</v>
      </c>
      <c r="L37" s="49">
        <v>104217.92</v>
      </c>
      <c r="M37" s="49">
        <v>0</v>
      </c>
      <c r="N37" s="25">
        <f t="shared" si="8"/>
        <v>104217.92</v>
      </c>
      <c r="O37" s="50"/>
      <c r="P37" s="50"/>
      <c r="Q37" s="50"/>
      <c r="R37" s="25">
        <f t="shared" si="9"/>
        <v>104217.92</v>
      </c>
      <c r="S37" s="51">
        <v>104217.92</v>
      </c>
      <c r="T37" s="27">
        <f t="shared" si="10"/>
        <v>1</v>
      </c>
      <c r="U37" s="52">
        <v>69603.210000000006</v>
      </c>
      <c r="V37" s="27">
        <f t="shared" si="11"/>
        <v>0.66786220642284944</v>
      </c>
      <c r="W37" s="49">
        <v>69603.210000000006</v>
      </c>
      <c r="X37" s="27">
        <f t="shared" si="12"/>
        <v>0.66786220642284944</v>
      </c>
    </row>
    <row r="38" spans="1:24" ht="63" customHeight="1" x14ac:dyDescent="0.2">
      <c r="A38" s="21" t="s">
        <v>84</v>
      </c>
      <c r="B38" s="22" t="s">
        <v>85</v>
      </c>
      <c r="C38" s="22" t="s">
        <v>47</v>
      </c>
      <c r="D38" s="22" t="s">
        <v>94</v>
      </c>
      <c r="E38" s="32" t="s">
        <v>87</v>
      </c>
      <c r="F38" s="22" t="s">
        <v>88</v>
      </c>
      <c r="G38" s="22" t="s">
        <v>51</v>
      </c>
      <c r="H38" s="22" t="s">
        <v>91</v>
      </c>
      <c r="I38" s="22" t="s">
        <v>53</v>
      </c>
      <c r="J38" s="23">
        <v>3</v>
      </c>
      <c r="K38" s="33">
        <v>0</v>
      </c>
      <c r="L38" s="24">
        <v>404000</v>
      </c>
      <c r="M38" s="24">
        <v>0</v>
      </c>
      <c r="N38" s="25">
        <f t="shared" si="8"/>
        <v>404000</v>
      </c>
      <c r="O38" s="26"/>
      <c r="P38" s="26"/>
      <c r="Q38" s="26"/>
      <c r="R38" s="25">
        <f t="shared" si="9"/>
        <v>404000</v>
      </c>
      <c r="S38" s="36">
        <v>403071.84</v>
      </c>
      <c r="T38" s="27">
        <f t="shared" si="10"/>
        <v>0.99770257425742581</v>
      </c>
      <c r="U38" s="28">
        <v>0</v>
      </c>
      <c r="V38" s="27">
        <f t="shared" si="11"/>
        <v>0</v>
      </c>
      <c r="W38" s="24">
        <v>0</v>
      </c>
      <c r="X38" s="27">
        <f t="shared" si="12"/>
        <v>0</v>
      </c>
    </row>
    <row r="39" spans="1:24" ht="66.75" customHeight="1" x14ac:dyDescent="0.2">
      <c r="A39" s="21" t="s">
        <v>84</v>
      </c>
      <c r="B39" s="22" t="s">
        <v>85</v>
      </c>
      <c r="C39" s="22" t="s">
        <v>47</v>
      </c>
      <c r="D39" s="22" t="s">
        <v>94</v>
      </c>
      <c r="E39" s="32" t="s">
        <v>87</v>
      </c>
      <c r="F39" s="22" t="s">
        <v>88</v>
      </c>
      <c r="G39" s="22" t="s">
        <v>51</v>
      </c>
      <c r="H39" s="22" t="s">
        <v>91</v>
      </c>
      <c r="I39" s="22" t="s">
        <v>53</v>
      </c>
      <c r="J39" s="43">
        <v>4</v>
      </c>
      <c r="K39" s="33">
        <v>0</v>
      </c>
      <c r="L39" s="24">
        <v>1227372.54</v>
      </c>
      <c r="M39" s="24">
        <v>0</v>
      </c>
      <c r="N39" s="25">
        <f t="shared" si="8"/>
        <v>1227372.54</v>
      </c>
      <c r="O39" s="26"/>
      <c r="P39" s="26"/>
      <c r="Q39" s="26"/>
      <c r="R39" s="25">
        <f t="shared" si="9"/>
        <v>1227372.54</v>
      </c>
      <c r="S39" s="36">
        <f>302490+924882.33</f>
        <v>1227372.33</v>
      </c>
      <c r="T39" s="27">
        <f t="shared" si="10"/>
        <v>0.99999982890280403</v>
      </c>
      <c r="U39" s="45">
        <v>48882.15</v>
      </c>
      <c r="V39" s="27">
        <f t="shared" si="11"/>
        <v>3.982666094191744E-2</v>
      </c>
      <c r="W39" s="24">
        <v>48882.15</v>
      </c>
      <c r="X39" s="27">
        <f t="shared" si="12"/>
        <v>3.982666094191744E-2</v>
      </c>
    </row>
    <row r="40" spans="1:24" ht="66.75" customHeight="1" x14ac:dyDescent="0.2">
      <c r="A40" s="21" t="s">
        <v>84</v>
      </c>
      <c r="B40" s="22" t="s">
        <v>85</v>
      </c>
      <c r="C40" s="22" t="s">
        <v>47</v>
      </c>
      <c r="D40" s="22" t="s">
        <v>95</v>
      </c>
      <c r="E40" s="32" t="s">
        <v>87</v>
      </c>
      <c r="F40" s="22" t="s">
        <v>96</v>
      </c>
      <c r="G40" s="22" t="s">
        <v>51</v>
      </c>
      <c r="H40" s="22" t="s">
        <v>89</v>
      </c>
      <c r="I40" s="22" t="s">
        <v>53</v>
      </c>
      <c r="J40" s="43">
        <v>4</v>
      </c>
      <c r="K40" s="33">
        <v>3000000</v>
      </c>
      <c r="L40" s="24">
        <v>0</v>
      </c>
      <c r="M40" s="24">
        <v>2984626.56</v>
      </c>
      <c r="N40" s="25">
        <f t="shared" si="8"/>
        <v>15373.439999999944</v>
      </c>
      <c r="O40" s="26"/>
      <c r="P40" s="26"/>
      <c r="Q40" s="26"/>
      <c r="R40" s="25">
        <f t="shared" si="9"/>
        <v>15373.439999999944</v>
      </c>
      <c r="S40" s="36">
        <v>0</v>
      </c>
      <c r="T40" s="27">
        <f t="shared" si="10"/>
        <v>0</v>
      </c>
      <c r="U40" s="45">
        <v>0</v>
      </c>
      <c r="V40" s="27">
        <f t="shared" si="11"/>
        <v>0</v>
      </c>
      <c r="W40" s="24">
        <v>0</v>
      </c>
      <c r="X40" s="27">
        <f t="shared" si="12"/>
        <v>0</v>
      </c>
    </row>
    <row r="41" spans="1:24" ht="66.75" customHeight="1" x14ac:dyDescent="0.2">
      <c r="A41" s="21" t="s">
        <v>84</v>
      </c>
      <c r="B41" s="22" t="s">
        <v>85</v>
      </c>
      <c r="C41" s="22" t="s">
        <v>47</v>
      </c>
      <c r="D41" s="22" t="s">
        <v>163</v>
      </c>
      <c r="E41" s="32" t="s">
        <v>87</v>
      </c>
      <c r="F41" s="22" t="s">
        <v>96</v>
      </c>
      <c r="G41" s="22" t="s">
        <v>51</v>
      </c>
      <c r="H41" s="22" t="s">
        <v>91</v>
      </c>
      <c r="I41" s="22" t="s">
        <v>53</v>
      </c>
      <c r="J41" s="43">
        <v>4</v>
      </c>
      <c r="K41" s="33">
        <v>0</v>
      </c>
      <c r="L41" s="24">
        <v>3644491.47</v>
      </c>
      <c r="M41" s="24">
        <v>0</v>
      </c>
      <c r="N41" s="25">
        <f t="shared" si="8"/>
        <v>3644491.47</v>
      </c>
      <c r="O41" s="26"/>
      <c r="P41" s="26"/>
      <c r="Q41" s="26"/>
      <c r="R41" s="25">
        <f t="shared" si="9"/>
        <v>3644491.47</v>
      </c>
      <c r="S41" s="36">
        <v>3644491.47</v>
      </c>
      <c r="T41" s="27">
        <f t="shared" si="10"/>
        <v>1</v>
      </c>
      <c r="U41" s="45">
        <v>0</v>
      </c>
      <c r="V41" s="27">
        <f t="shared" si="11"/>
        <v>0</v>
      </c>
      <c r="W41" s="24">
        <v>0</v>
      </c>
      <c r="X41" s="27">
        <f t="shared" si="12"/>
        <v>0</v>
      </c>
    </row>
    <row r="42" spans="1:24" ht="63" customHeight="1" x14ac:dyDescent="0.2">
      <c r="A42" s="21" t="s">
        <v>84</v>
      </c>
      <c r="B42" s="22" t="s">
        <v>85</v>
      </c>
      <c r="C42" s="22" t="s">
        <v>47</v>
      </c>
      <c r="D42" s="22" t="s">
        <v>147</v>
      </c>
      <c r="E42" s="32" t="s">
        <v>87</v>
      </c>
      <c r="F42" s="22" t="s">
        <v>96</v>
      </c>
      <c r="G42" s="22" t="s">
        <v>51</v>
      </c>
      <c r="H42" s="22" t="s">
        <v>91</v>
      </c>
      <c r="I42" s="22" t="s">
        <v>53</v>
      </c>
      <c r="J42" s="43">
        <v>4</v>
      </c>
      <c r="K42" s="33">
        <v>0</v>
      </c>
      <c r="L42" s="24">
        <v>31249.200000000001</v>
      </c>
      <c r="M42" s="24">
        <v>0</v>
      </c>
      <c r="N42" s="25">
        <f t="shared" si="8"/>
        <v>31249.200000000001</v>
      </c>
      <c r="O42" s="25"/>
      <c r="P42" s="25"/>
      <c r="Q42" s="25"/>
      <c r="R42" s="25">
        <f t="shared" si="9"/>
        <v>31249.200000000001</v>
      </c>
      <c r="S42" s="33">
        <v>0</v>
      </c>
      <c r="T42" s="27">
        <f t="shared" si="10"/>
        <v>0</v>
      </c>
      <c r="U42" s="45">
        <v>0</v>
      </c>
      <c r="V42" s="27">
        <f t="shared" si="11"/>
        <v>0</v>
      </c>
      <c r="W42" s="24">
        <v>0</v>
      </c>
      <c r="X42" s="27">
        <f t="shared" si="12"/>
        <v>0</v>
      </c>
    </row>
    <row r="43" spans="1:24" ht="63" customHeight="1" x14ac:dyDescent="0.2">
      <c r="A43" s="21" t="s">
        <v>84</v>
      </c>
      <c r="B43" s="22" t="s">
        <v>85</v>
      </c>
      <c r="C43" s="22" t="s">
        <v>47</v>
      </c>
      <c r="D43" s="22" t="s">
        <v>97</v>
      </c>
      <c r="E43" s="32" t="s">
        <v>87</v>
      </c>
      <c r="F43" s="22" t="s">
        <v>98</v>
      </c>
      <c r="G43" s="22" t="s">
        <v>51</v>
      </c>
      <c r="H43" s="22" t="s">
        <v>89</v>
      </c>
      <c r="I43" s="22" t="s">
        <v>53</v>
      </c>
      <c r="J43" s="43">
        <v>4</v>
      </c>
      <c r="K43" s="33">
        <v>50000</v>
      </c>
      <c r="L43" s="24">
        <v>0</v>
      </c>
      <c r="M43" s="24">
        <v>50000</v>
      </c>
      <c r="N43" s="25">
        <f t="shared" si="8"/>
        <v>0</v>
      </c>
      <c r="O43" s="25"/>
      <c r="P43" s="25"/>
      <c r="Q43" s="25"/>
      <c r="R43" s="25">
        <f t="shared" si="9"/>
        <v>0</v>
      </c>
      <c r="S43" s="33">
        <v>0</v>
      </c>
      <c r="T43" s="27">
        <f t="shared" si="10"/>
        <v>0</v>
      </c>
      <c r="U43" s="45">
        <v>0</v>
      </c>
      <c r="V43" s="27">
        <f t="shared" si="11"/>
        <v>0</v>
      </c>
      <c r="W43" s="24">
        <v>0</v>
      </c>
      <c r="X43" s="27">
        <f t="shared" si="12"/>
        <v>0</v>
      </c>
    </row>
    <row r="44" spans="1:24" ht="63" customHeight="1" x14ac:dyDescent="0.2">
      <c r="A44" s="21" t="s">
        <v>84</v>
      </c>
      <c r="B44" s="22" t="s">
        <v>85</v>
      </c>
      <c r="C44" s="22" t="s">
        <v>47</v>
      </c>
      <c r="D44" s="22" t="s">
        <v>48</v>
      </c>
      <c r="E44" s="32" t="s">
        <v>87</v>
      </c>
      <c r="F44" s="22" t="s">
        <v>99</v>
      </c>
      <c r="G44" s="22" t="s">
        <v>51</v>
      </c>
      <c r="H44" s="22" t="s">
        <v>89</v>
      </c>
      <c r="I44" s="22" t="s">
        <v>53</v>
      </c>
      <c r="J44" s="23">
        <v>3</v>
      </c>
      <c r="K44" s="33">
        <f>44253337-K45</f>
        <v>43753337</v>
      </c>
      <c r="L44" s="24">
        <v>6303345.4199999999</v>
      </c>
      <c r="M44" s="24">
        <v>6856692.8200000003</v>
      </c>
      <c r="N44" s="25">
        <f t="shared" si="8"/>
        <v>43199989.600000001</v>
      </c>
      <c r="O44" s="25"/>
      <c r="P44" s="25"/>
      <c r="Q44" s="25"/>
      <c r="R44" s="25">
        <f t="shared" si="9"/>
        <v>43199989.600000001</v>
      </c>
      <c r="S44" s="33">
        <f>42304197.09-S45</f>
        <v>41818779.160000004</v>
      </c>
      <c r="T44" s="27">
        <f t="shared" si="10"/>
        <v>0.96802752841403472</v>
      </c>
      <c r="U44" s="28">
        <f>24953167.81-U45</f>
        <v>24684869.68</v>
      </c>
      <c r="V44" s="27">
        <f t="shared" si="11"/>
        <v>0.57140915793183433</v>
      </c>
      <c r="W44" s="24">
        <f>24936248.81-W45</f>
        <v>24667950.68</v>
      </c>
      <c r="X44" s="27">
        <f t="shared" si="12"/>
        <v>0.57101751431903125</v>
      </c>
    </row>
    <row r="45" spans="1:24" ht="63" customHeight="1" x14ac:dyDescent="0.2">
      <c r="A45" s="21" t="s">
        <v>84</v>
      </c>
      <c r="B45" s="22" t="s">
        <v>85</v>
      </c>
      <c r="C45" s="22" t="s">
        <v>47</v>
      </c>
      <c r="D45" s="22" t="s">
        <v>48</v>
      </c>
      <c r="E45" s="32" t="s">
        <v>87</v>
      </c>
      <c r="F45" s="22" t="s">
        <v>99</v>
      </c>
      <c r="G45" s="22" t="s">
        <v>51</v>
      </c>
      <c r="H45" s="22" t="s">
        <v>89</v>
      </c>
      <c r="I45" s="22" t="s">
        <v>53</v>
      </c>
      <c r="J45" s="43">
        <v>4</v>
      </c>
      <c r="K45" s="33">
        <f>500000</f>
        <v>500000</v>
      </c>
      <c r="L45" s="24">
        <v>0</v>
      </c>
      <c r="M45" s="24">
        <v>0</v>
      </c>
      <c r="N45" s="25">
        <f t="shared" si="8"/>
        <v>500000</v>
      </c>
      <c r="O45" s="25"/>
      <c r="P45" s="25"/>
      <c r="Q45" s="25"/>
      <c r="R45" s="25">
        <f t="shared" si="9"/>
        <v>500000</v>
      </c>
      <c r="S45" s="24">
        <f>160000+11820+42375+38094+222928.93+10200</f>
        <v>485417.93</v>
      </c>
      <c r="T45" s="27">
        <f t="shared" si="10"/>
        <v>0.97083585999999999</v>
      </c>
      <c r="U45" s="45">
        <f>11820+42375+38094+169109.13+6900</f>
        <v>268298.13</v>
      </c>
      <c r="V45" s="27">
        <f t="shared" si="11"/>
        <v>0.53659626000000005</v>
      </c>
      <c r="W45" s="24">
        <f>11820+42375+38094+169109.13+6900</f>
        <v>268298.13</v>
      </c>
      <c r="X45" s="27">
        <f t="shared" si="12"/>
        <v>0.53659626000000005</v>
      </c>
    </row>
    <row r="46" spans="1:24" ht="63" customHeight="1" x14ac:dyDescent="0.2">
      <c r="A46" s="21" t="s">
        <v>84</v>
      </c>
      <c r="B46" s="32" t="s">
        <v>85</v>
      </c>
      <c r="C46" s="32" t="s">
        <v>47</v>
      </c>
      <c r="D46" s="32" t="s">
        <v>48</v>
      </c>
      <c r="E46" s="32" t="s">
        <v>87</v>
      </c>
      <c r="F46" s="22" t="s">
        <v>99</v>
      </c>
      <c r="G46" s="32" t="s">
        <v>51</v>
      </c>
      <c r="H46" s="32" t="s">
        <v>91</v>
      </c>
      <c r="I46" s="32" t="s">
        <v>53</v>
      </c>
      <c r="J46" s="23">
        <v>3</v>
      </c>
      <c r="K46" s="33">
        <v>0</v>
      </c>
      <c r="L46" s="34">
        <f>12360588.04-L47</f>
        <v>10891759.439999999</v>
      </c>
      <c r="M46" s="34">
        <v>596967.37</v>
      </c>
      <c r="N46" s="25">
        <f t="shared" si="8"/>
        <v>10294792.07</v>
      </c>
      <c r="O46" s="35"/>
      <c r="P46" s="35"/>
      <c r="Q46" s="35"/>
      <c r="R46" s="25">
        <f t="shared" si="9"/>
        <v>10294792.07</v>
      </c>
      <c r="S46" s="34">
        <f>6282741.97-S47</f>
        <v>4973436.6499999994</v>
      </c>
      <c r="T46" s="37">
        <f t="shared" si="10"/>
        <v>0.48310219538023164</v>
      </c>
      <c r="U46" s="53">
        <f>1533986.55-U47</f>
        <v>1139611.8</v>
      </c>
      <c r="V46" s="37">
        <f t="shared" si="11"/>
        <v>0.1106978938720809</v>
      </c>
      <c r="W46" s="34">
        <f>1533986.55-W47</f>
        <v>1139611.8</v>
      </c>
      <c r="X46" s="37">
        <f t="shared" si="12"/>
        <v>0.1106978938720809</v>
      </c>
    </row>
    <row r="47" spans="1:24" ht="63" customHeight="1" x14ac:dyDescent="0.2">
      <c r="A47" s="21" t="s">
        <v>84</v>
      </c>
      <c r="B47" s="32" t="s">
        <v>85</v>
      </c>
      <c r="C47" s="32" t="s">
        <v>47</v>
      </c>
      <c r="D47" s="32" t="s">
        <v>48</v>
      </c>
      <c r="E47" s="32" t="s">
        <v>87</v>
      </c>
      <c r="F47" s="22" t="s">
        <v>99</v>
      </c>
      <c r="G47" s="32" t="s">
        <v>51</v>
      </c>
      <c r="H47" s="32" t="s">
        <v>91</v>
      </c>
      <c r="I47" s="32" t="s">
        <v>53</v>
      </c>
      <c r="J47" s="43">
        <v>4</v>
      </c>
      <c r="K47" s="33">
        <v>0</v>
      </c>
      <c r="L47" s="34">
        <f>1416849.4+51979.2</f>
        <v>1468828.5999999999</v>
      </c>
      <c r="M47" s="34">
        <v>0</v>
      </c>
      <c r="N47" s="25">
        <f t="shared" si="8"/>
        <v>1468828.5999999999</v>
      </c>
      <c r="O47" s="35"/>
      <c r="P47" s="35"/>
      <c r="Q47" s="35"/>
      <c r="R47" s="25">
        <f t="shared" si="9"/>
        <v>1468828.5999999999</v>
      </c>
      <c r="S47" s="34">
        <f>14030+29500+310756.52+903039.6+51979.2</f>
        <v>1309305.32</v>
      </c>
      <c r="T47" s="37">
        <f t="shared" si="10"/>
        <v>0.89139421713329936</v>
      </c>
      <c r="U47" s="45">
        <f>50294.75+344080</f>
        <v>394374.75</v>
      </c>
      <c r="V47" s="37">
        <f t="shared" si="11"/>
        <v>0.26849609954490267</v>
      </c>
      <c r="W47" s="34">
        <f>50294.75+344080</f>
        <v>394374.75</v>
      </c>
      <c r="X47" s="37">
        <f t="shared" si="12"/>
        <v>0.26849609954490267</v>
      </c>
    </row>
    <row r="48" spans="1:24" ht="63" customHeight="1" x14ac:dyDescent="0.2">
      <c r="A48" s="21" t="s">
        <v>84</v>
      </c>
      <c r="B48" s="32" t="s">
        <v>85</v>
      </c>
      <c r="C48" s="32" t="s">
        <v>47</v>
      </c>
      <c r="D48" s="32" t="s">
        <v>54</v>
      </c>
      <c r="E48" s="32" t="s">
        <v>87</v>
      </c>
      <c r="F48" s="32" t="s">
        <v>100</v>
      </c>
      <c r="G48" s="32" t="s">
        <v>51</v>
      </c>
      <c r="H48" s="32" t="s">
        <v>89</v>
      </c>
      <c r="I48" s="32" t="s">
        <v>53</v>
      </c>
      <c r="J48" s="23">
        <v>3</v>
      </c>
      <c r="K48" s="33">
        <v>65000</v>
      </c>
      <c r="L48" s="34">
        <v>0</v>
      </c>
      <c r="M48" s="34">
        <v>0</v>
      </c>
      <c r="N48" s="25">
        <f t="shared" si="8"/>
        <v>65000</v>
      </c>
      <c r="O48" s="35"/>
      <c r="P48" s="35"/>
      <c r="Q48" s="35"/>
      <c r="R48" s="25">
        <f t="shared" si="9"/>
        <v>65000</v>
      </c>
      <c r="S48" s="34">
        <v>0</v>
      </c>
      <c r="T48" s="37">
        <f t="shared" si="10"/>
        <v>0</v>
      </c>
      <c r="U48" s="53">
        <v>0</v>
      </c>
      <c r="V48" s="37">
        <f t="shared" si="11"/>
        <v>0</v>
      </c>
      <c r="W48" s="34">
        <v>0</v>
      </c>
      <c r="X48" s="37">
        <f t="shared" si="12"/>
        <v>0</v>
      </c>
    </row>
    <row r="49" spans="1:24" ht="63" customHeight="1" x14ac:dyDescent="0.2">
      <c r="A49" s="21" t="s">
        <v>84</v>
      </c>
      <c r="B49" s="32" t="s">
        <v>85</v>
      </c>
      <c r="C49" s="32" t="s">
        <v>47</v>
      </c>
      <c r="D49" s="32" t="s">
        <v>54</v>
      </c>
      <c r="E49" s="32" t="s">
        <v>101</v>
      </c>
      <c r="F49" s="32" t="s">
        <v>100</v>
      </c>
      <c r="G49" s="32" t="s">
        <v>51</v>
      </c>
      <c r="H49" s="32" t="s">
        <v>91</v>
      </c>
      <c r="I49" s="32" t="s">
        <v>60</v>
      </c>
      <c r="J49" s="23">
        <v>3</v>
      </c>
      <c r="K49" s="33">
        <v>0</v>
      </c>
      <c r="L49" s="34">
        <v>6825000</v>
      </c>
      <c r="M49" s="34">
        <v>0</v>
      </c>
      <c r="N49" s="25">
        <f t="shared" si="8"/>
        <v>6825000</v>
      </c>
      <c r="O49" s="35"/>
      <c r="P49" s="35"/>
      <c r="Q49" s="35"/>
      <c r="R49" s="25">
        <f t="shared" si="9"/>
        <v>6825000</v>
      </c>
      <c r="S49" s="36">
        <v>4133115.95</v>
      </c>
      <c r="T49" s="37">
        <f t="shared" si="10"/>
        <v>0.6055847545787546</v>
      </c>
      <c r="U49" s="53">
        <v>4133115.95</v>
      </c>
      <c r="V49" s="37">
        <f t="shared" si="11"/>
        <v>0.6055847545787546</v>
      </c>
      <c r="W49" s="34">
        <v>4133115.95</v>
      </c>
      <c r="X49" s="37">
        <f t="shared" si="12"/>
        <v>0.6055847545787546</v>
      </c>
    </row>
    <row r="50" spans="1:24" ht="63" customHeight="1" x14ac:dyDescent="0.2">
      <c r="A50" s="21" t="s">
        <v>84</v>
      </c>
      <c r="B50" s="32" t="s">
        <v>85</v>
      </c>
      <c r="C50" s="32" t="s">
        <v>47</v>
      </c>
      <c r="D50" s="32" t="s">
        <v>102</v>
      </c>
      <c r="E50" s="32" t="s">
        <v>101</v>
      </c>
      <c r="F50" s="32" t="s">
        <v>103</v>
      </c>
      <c r="G50" s="32" t="s">
        <v>51</v>
      </c>
      <c r="H50" s="32" t="s">
        <v>89</v>
      </c>
      <c r="I50" s="32" t="s">
        <v>60</v>
      </c>
      <c r="J50" s="43">
        <v>4</v>
      </c>
      <c r="K50" s="33">
        <v>800000</v>
      </c>
      <c r="L50" s="34">
        <v>0</v>
      </c>
      <c r="M50" s="34">
        <v>800000</v>
      </c>
      <c r="N50" s="25">
        <f t="shared" si="8"/>
        <v>0</v>
      </c>
      <c r="O50" s="35"/>
      <c r="P50" s="35"/>
      <c r="Q50" s="35"/>
      <c r="R50" s="25">
        <f t="shared" si="9"/>
        <v>0</v>
      </c>
      <c r="S50" s="36">
        <v>0</v>
      </c>
      <c r="T50" s="37">
        <f t="shared" si="10"/>
        <v>0</v>
      </c>
      <c r="U50" s="45">
        <v>0</v>
      </c>
      <c r="V50" s="37">
        <f t="shared" si="11"/>
        <v>0</v>
      </c>
      <c r="W50" s="34">
        <v>0</v>
      </c>
      <c r="X50" s="37">
        <f t="shared" si="12"/>
        <v>0</v>
      </c>
    </row>
    <row r="51" spans="1:24" ht="63" customHeight="1" x14ac:dyDescent="0.2">
      <c r="A51" s="21" t="s">
        <v>84</v>
      </c>
      <c r="B51" s="32" t="s">
        <v>85</v>
      </c>
      <c r="C51" s="32" t="s">
        <v>47</v>
      </c>
      <c r="D51" s="32" t="s">
        <v>150</v>
      </c>
      <c r="E51" s="32" t="s">
        <v>101</v>
      </c>
      <c r="F51" s="32" t="s">
        <v>103</v>
      </c>
      <c r="G51" s="32" t="s">
        <v>51</v>
      </c>
      <c r="H51" s="32" t="s">
        <v>91</v>
      </c>
      <c r="I51" s="32" t="s">
        <v>60</v>
      </c>
      <c r="J51" s="43">
        <v>4</v>
      </c>
      <c r="K51" s="33">
        <v>0</v>
      </c>
      <c r="L51" s="34">
        <v>50812.5</v>
      </c>
      <c r="M51" s="34">
        <v>0</v>
      </c>
      <c r="N51" s="25">
        <f t="shared" si="8"/>
        <v>50812.5</v>
      </c>
      <c r="O51" s="35"/>
      <c r="P51" s="35"/>
      <c r="Q51" s="35"/>
      <c r="R51" s="25">
        <f t="shared" si="9"/>
        <v>50812.5</v>
      </c>
      <c r="S51" s="36">
        <v>30000</v>
      </c>
      <c r="T51" s="37">
        <f t="shared" si="10"/>
        <v>0.59040590405904059</v>
      </c>
      <c r="U51" s="45">
        <v>0</v>
      </c>
      <c r="V51" s="37">
        <f t="shared" si="11"/>
        <v>0</v>
      </c>
      <c r="W51" s="34">
        <v>0</v>
      </c>
      <c r="X51" s="37">
        <f t="shared" si="12"/>
        <v>0</v>
      </c>
    </row>
    <row r="52" spans="1:24" ht="63" customHeight="1" x14ac:dyDescent="0.2">
      <c r="A52" s="21" t="s">
        <v>84</v>
      </c>
      <c r="B52" s="32" t="s">
        <v>85</v>
      </c>
      <c r="C52" s="32" t="s">
        <v>47</v>
      </c>
      <c r="D52" s="32" t="s">
        <v>104</v>
      </c>
      <c r="E52" s="32" t="s">
        <v>101</v>
      </c>
      <c r="F52" s="32" t="s">
        <v>105</v>
      </c>
      <c r="G52" s="32" t="s">
        <v>51</v>
      </c>
      <c r="H52" s="32" t="s">
        <v>89</v>
      </c>
      <c r="I52" s="32" t="s">
        <v>60</v>
      </c>
      <c r="J52" s="43">
        <v>4</v>
      </c>
      <c r="K52" s="33">
        <v>50000</v>
      </c>
      <c r="L52" s="34">
        <v>0</v>
      </c>
      <c r="M52" s="34">
        <v>50000</v>
      </c>
      <c r="N52" s="25">
        <f t="shared" si="8"/>
        <v>0</v>
      </c>
      <c r="O52" s="35"/>
      <c r="P52" s="35"/>
      <c r="Q52" s="35"/>
      <c r="R52" s="25">
        <f t="shared" si="9"/>
        <v>0</v>
      </c>
      <c r="S52" s="36">
        <v>0</v>
      </c>
      <c r="T52" s="37">
        <f t="shared" si="10"/>
        <v>0</v>
      </c>
      <c r="U52" s="45">
        <v>0</v>
      </c>
      <c r="V52" s="37">
        <f t="shared" si="11"/>
        <v>0</v>
      </c>
      <c r="W52" s="34">
        <v>0</v>
      </c>
      <c r="X52" s="37">
        <f t="shared" si="12"/>
        <v>0</v>
      </c>
    </row>
    <row r="53" spans="1:24" ht="63" customHeight="1" x14ac:dyDescent="0.2">
      <c r="A53" s="21" t="s">
        <v>84</v>
      </c>
      <c r="B53" s="32" t="s">
        <v>85</v>
      </c>
      <c r="C53" s="32" t="s">
        <v>47</v>
      </c>
      <c r="D53" s="32" t="s">
        <v>108</v>
      </c>
      <c r="E53" s="32" t="s">
        <v>101</v>
      </c>
      <c r="F53" s="32" t="s">
        <v>107</v>
      </c>
      <c r="G53" s="32" t="s">
        <v>51</v>
      </c>
      <c r="H53" s="32" t="s">
        <v>89</v>
      </c>
      <c r="I53" s="32" t="s">
        <v>60</v>
      </c>
      <c r="J53" s="43">
        <v>4</v>
      </c>
      <c r="K53" s="33">
        <v>200000</v>
      </c>
      <c r="L53" s="34">
        <v>0</v>
      </c>
      <c r="M53" s="34">
        <v>0</v>
      </c>
      <c r="N53" s="25">
        <f t="shared" si="8"/>
        <v>200000</v>
      </c>
      <c r="O53" s="35"/>
      <c r="P53" s="35"/>
      <c r="Q53" s="35"/>
      <c r="R53" s="25">
        <f t="shared" si="9"/>
        <v>200000</v>
      </c>
      <c r="S53" s="36">
        <v>200000</v>
      </c>
      <c r="T53" s="37">
        <f t="shared" si="10"/>
        <v>1</v>
      </c>
      <c r="U53" s="45">
        <v>0</v>
      </c>
      <c r="V53" s="37">
        <f t="shared" si="11"/>
        <v>0</v>
      </c>
      <c r="W53" s="34">
        <v>0</v>
      </c>
      <c r="X53" s="37">
        <f t="shared" si="12"/>
        <v>0</v>
      </c>
    </row>
    <row r="54" spans="1:24" ht="63" customHeight="1" x14ac:dyDescent="0.2">
      <c r="A54" s="21" t="s">
        <v>84</v>
      </c>
      <c r="B54" s="32" t="s">
        <v>85</v>
      </c>
      <c r="C54" s="32" t="s">
        <v>47</v>
      </c>
      <c r="D54" s="32" t="s">
        <v>106</v>
      </c>
      <c r="E54" s="32" t="s">
        <v>101</v>
      </c>
      <c r="F54" s="32" t="s">
        <v>107</v>
      </c>
      <c r="G54" s="32" t="s">
        <v>51</v>
      </c>
      <c r="H54" s="32" t="s">
        <v>89</v>
      </c>
      <c r="I54" s="32" t="s">
        <v>60</v>
      </c>
      <c r="J54" s="23">
        <v>3</v>
      </c>
      <c r="K54" s="33">
        <v>0</v>
      </c>
      <c r="L54" s="34">
        <v>21603.9</v>
      </c>
      <c r="M54" s="34">
        <v>0</v>
      </c>
      <c r="N54" s="25">
        <f t="shared" si="8"/>
        <v>21603.9</v>
      </c>
      <c r="O54" s="35"/>
      <c r="P54" s="35"/>
      <c r="Q54" s="35"/>
      <c r="R54" s="25">
        <f t="shared" si="9"/>
        <v>21603.9</v>
      </c>
      <c r="S54" s="36">
        <v>21603.9</v>
      </c>
      <c r="T54" s="37">
        <f t="shared" si="10"/>
        <v>1</v>
      </c>
      <c r="U54" s="28">
        <v>21603.9</v>
      </c>
      <c r="V54" s="37">
        <f t="shared" si="11"/>
        <v>1</v>
      </c>
      <c r="W54" s="34">
        <v>21603.9</v>
      </c>
      <c r="X54" s="37">
        <f t="shared" si="12"/>
        <v>1</v>
      </c>
    </row>
    <row r="55" spans="1:24" ht="63" customHeight="1" x14ac:dyDescent="0.2">
      <c r="A55" s="21" t="s">
        <v>84</v>
      </c>
      <c r="B55" s="32" t="s">
        <v>85</v>
      </c>
      <c r="C55" s="32" t="s">
        <v>47</v>
      </c>
      <c r="D55" s="32" t="s">
        <v>106</v>
      </c>
      <c r="E55" s="32" t="s">
        <v>101</v>
      </c>
      <c r="F55" s="32" t="s">
        <v>107</v>
      </c>
      <c r="G55" s="32" t="s">
        <v>51</v>
      </c>
      <c r="H55" s="32" t="s">
        <v>89</v>
      </c>
      <c r="I55" s="32" t="s">
        <v>60</v>
      </c>
      <c r="J55" s="43">
        <v>4</v>
      </c>
      <c r="K55" s="33">
        <v>0</v>
      </c>
      <c r="L55" s="34">
        <v>152093.76000000001</v>
      </c>
      <c r="M55" s="34">
        <v>0</v>
      </c>
      <c r="N55" s="25">
        <f t="shared" si="8"/>
        <v>152093.76000000001</v>
      </c>
      <c r="O55" s="35"/>
      <c r="P55" s="35"/>
      <c r="Q55" s="35"/>
      <c r="R55" s="25">
        <f t="shared" si="9"/>
        <v>152093.76000000001</v>
      </c>
      <c r="S55" s="36">
        <v>152093.76000000001</v>
      </c>
      <c r="T55" s="37">
        <f t="shared" si="10"/>
        <v>1</v>
      </c>
      <c r="U55" s="103">
        <v>152093.76000000001</v>
      </c>
      <c r="V55" s="37">
        <f t="shared" si="11"/>
        <v>1</v>
      </c>
      <c r="W55" s="34">
        <v>152093.76000000001</v>
      </c>
      <c r="X55" s="37">
        <f t="shared" si="12"/>
        <v>1</v>
      </c>
    </row>
    <row r="56" spans="1:24" ht="63" customHeight="1" x14ac:dyDescent="0.2">
      <c r="A56" s="21" t="s">
        <v>84</v>
      </c>
      <c r="B56" s="32" t="s">
        <v>85</v>
      </c>
      <c r="C56" s="32" t="s">
        <v>47</v>
      </c>
      <c r="D56" s="32" t="s">
        <v>106</v>
      </c>
      <c r="E56" s="32" t="s">
        <v>101</v>
      </c>
      <c r="F56" s="32" t="s">
        <v>107</v>
      </c>
      <c r="G56" s="32" t="s">
        <v>51</v>
      </c>
      <c r="H56" s="32" t="s">
        <v>91</v>
      </c>
      <c r="I56" s="32" t="s">
        <v>60</v>
      </c>
      <c r="J56" s="43">
        <v>4</v>
      </c>
      <c r="K56" s="33">
        <v>0</v>
      </c>
      <c r="L56" s="34">
        <v>81150</v>
      </c>
      <c r="M56" s="34">
        <v>0</v>
      </c>
      <c r="N56" s="25">
        <f t="shared" si="8"/>
        <v>81150</v>
      </c>
      <c r="O56" s="35"/>
      <c r="P56" s="35"/>
      <c r="Q56" s="35"/>
      <c r="R56" s="25">
        <f t="shared" si="9"/>
        <v>81150</v>
      </c>
      <c r="S56" s="36">
        <v>0</v>
      </c>
      <c r="T56" s="37">
        <f t="shared" si="10"/>
        <v>0</v>
      </c>
      <c r="U56" s="103">
        <v>0</v>
      </c>
      <c r="V56" s="37">
        <f t="shared" si="11"/>
        <v>0</v>
      </c>
      <c r="W56" s="34">
        <v>0</v>
      </c>
      <c r="X56" s="37">
        <f t="shared" si="12"/>
        <v>0</v>
      </c>
    </row>
    <row r="57" spans="1:24" ht="63" customHeight="1" x14ac:dyDescent="0.2">
      <c r="A57" s="21" t="s">
        <v>84</v>
      </c>
      <c r="B57" s="32" t="s">
        <v>85</v>
      </c>
      <c r="C57" s="32" t="s">
        <v>47</v>
      </c>
      <c r="D57" s="32" t="s">
        <v>58</v>
      </c>
      <c r="E57" s="32" t="s">
        <v>101</v>
      </c>
      <c r="F57" s="32" t="s">
        <v>59</v>
      </c>
      <c r="G57" s="32" t="s">
        <v>51</v>
      </c>
      <c r="H57" s="32" t="s">
        <v>109</v>
      </c>
      <c r="I57" s="32" t="s">
        <v>60</v>
      </c>
      <c r="J57" s="23">
        <v>3</v>
      </c>
      <c r="K57" s="33">
        <v>300000</v>
      </c>
      <c r="L57" s="34">
        <v>153265.88</v>
      </c>
      <c r="M57" s="34">
        <v>153265.88</v>
      </c>
      <c r="N57" s="25">
        <f t="shared" si="8"/>
        <v>300000</v>
      </c>
      <c r="O57" s="35"/>
      <c r="P57" s="35"/>
      <c r="Q57" s="35"/>
      <c r="R57" s="25">
        <f t="shared" si="9"/>
        <v>300000</v>
      </c>
      <c r="S57" s="36">
        <v>144564.57999999999</v>
      </c>
      <c r="T57" s="37">
        <f t="shared" si="10"/>
        <v>0.48188193333333329</v>
      </c>
      <c r="U57" s="53">
        <v>86737.9</v>
      </c>
      <c r="V57" s="37">
        <f t="shared" si="11"/>
        <v>0.28912633333333332</v>
      </c>
      <c r="W57" s="34">
        <v>86737.9</v>
      </c>
      <c r="X57" s="37">
        <f t="shared" si="12"/>
        <v>0.28912633333333332</v>
      </c>
    </row>
    <row r="58" spans="1:24" ht="63" customHeight="1" x14ac:dyDescent="0.2">
      <c r="A58" s="21" t="s">
        <v>84</v>
      </c>
      <c r="B58" s="22" t="s">
        <v>85</v>
      </c>
      <c r="C58" s="22" t="s">
        <v>47</v>
      </c>
      <c r="D58" s="22" t="s">
        <v>61</v>
      </c>
      <c r="E58" s="32" t="s">
        <v>101</v>
      </c>
      <c r="F58" s="32" t="s">
        <v>63</v>
      </c>
      <c r="G58" s="22" t="s">
        <v>51</v>
      </c>
      <c r="H58" s="22" t="s">
        <v>89</v>
      </c>
      <c r="I58" s="22" t="s">
        <v>60</v>
      </c>
      <c r="J58" s="23">
        <v>3</v>
      </c>
      <c r="K58" s="33">
        <v>20000</v>
      </c>
      <c r="L58" s="24">
        <v>0</v>
      </c>
      <c r="M58" s="24">
        <v>47</v>
      </c>
      <c r="N58" s="25">
        <f t="shared" si="8"/>
        <v>19953</v>
      </c>
      <c r="O58" s="25"/>
      <c r="P58" s="25"/>
      <c r="Q58" s="25"/>
      <c r="R58" s="25">
        <f t="shared" si="9"/>
        <v>19953</v>
      </c>
      <c r="S58" s="36">
        <v>0</v>
      </c>
      <c r="T58" s="27">
        <f t="shared" si="10"/>
        <v>0</v>
      </c>
      <c r="U58" s="28">
        <v>0</v>
      </c>
      <c r="V58" s="27">
        <f t="shared" si="11"/>
        <v>0</v>
      </c>
      <c r="W58" s="24">
        <v>0</v>
      </c>
      <c r="X58" s="27">
        <f t="shared" si="12"/>
        <v>0</v>
      </c>
    </row>
    <row r="59" spans="1:24" ht="63" customHeight="1" x14ac:dyDescent="0.2">
      <c r="A59" s="21" t="s">
        <v>84</v>
      </c>
      <c r="B59" s="22" t="s">
        <v>85</v>
      </c>
      <c r="C59" s="22" t="s">
        <v>47</v>
      </c>
      <c r="D59" s="22" t="s">
        <v>61</v>
      </c>
      <c r="E59" s="32" t="s">
        <v>101</v>
      </c>
      <c r="F59" s="32" t="s">
        <v>63</v>
      </c>
      <c r="G59" s="22" t="s">
        <v>51</v>
      </c>
      <c r="H59" s="22" t="s">
        <v>91</v>
      </c>
      <c r="I59" s="22" t="s">
        <v>60</v>
      </c>
      <c r="J59" s="23">
        <v>3</v>
      </c>
      <c r="K59" s="33">
        <v>0</v>
      </c>
      <c r="L59" s="24">
        <v>625500</v>
      </c>
      <c r="M59" s="24">
        <v>0</v>
      </c>
      <c r="N59" s="25">
        <f t="shared" si="8"/>
        <v>625500</v>
      </c>
      <c r="O59" s="25"/>
      <c r="P59" s="25"/>
      <c r="Q59" s="25"/>
      <c r="R59" s="25">
        <f t="shared" si="9"/>
        <v>625500</v>
      </c>
      <c r="S59" s="36">
        <v>408295.64</v>
      </c>
      <c r="T59" s="27">
        <f t="shared" si="10"/>
        <v>0.65275082334132695</v>
      </c>
      <c r="U59" s="28">
        <v>408295.64</v>
      </c>
      <c r="V59" s="27">
        <f t="shared" si="11"/>
        <v>0.65275082334132695</v>
      </c>
      <c r="W59" s="24">
        <v>389272.33</v>
      </c>
      <c r="X59" s="27">
        <f t="shared" si="12"/>
        <v>0.62233785771382899</v>
      </c>
    </row>
    <row r="60" spans="1:24" ht="63" customHeight="1" x14ac:dyDescent="0.2">
      <c r="A60" s="21" t="s">
        <v>84</v>
      </c>
      <c r="B60" s="22" t="s">
        <v>85</v>
      </c>
      <c r="C60" s="22" t="s">
        <v>47</v>
      </c>
      <c r="D60" s="22" t="s">
        <v>110</v>
      </c>
      <c r="E60" s="32" t="s">
        <v>101</v>
      </c>
      <c r="F60" s="32" t="s">
        <v>111</v>
      </c>
      <c r="G60" s="22" t="s">
        <v>51</v>
      </c>
      <c r="H60" s="22" t="s">
        <v>89</v>
      </c>
      <c r="I60" s="22" t="s">
        <v>60</v>
      </c>
      <c r="J60" s="23">
        <v>3</v>
      </c>
      <c r="K60" s="33">
        <f>9026663-K61</f>
        <v>8826663</v>
      </c>
      <c r="L60" s="24">
        <f>9451871.6-L61</f>
        <v>8755055.5</v>
      </c>
      <c r="M60" s="24">
        <v>661134.75</v>
      </c>
      <c r="N60" s="25">
        <f t="shared" si="8"/>
        <v>16920583.75</v>
      </c>
      <c r="O60" s="25"/>
      <c r="P60" s="25"/>
      <c r="Q60" s="25"/>
      <c r="R60" s="25">
        <f t="shared" si="9"/>
        <v>16920583.75</v>
      </c>
      <c r="S60" s="24">
        <f>17368750.87-S61</f>
        <v>16492054.620000001</v>
      </c>
      <c r="T60" s="27">
        <f t="shared" si="10"/>
        <v>0.97467409302589814</v>
      </c>
      <c r="U60" s="28">
        <f>11695634.23-U61</f>
        <v>10839253.48</v>
      </c>
      <c r="V60" s="27">
        <f t="shared" si="11"/>
        <v>0.64059571703606266</v>
      </c>
      <c r="W60" s="24">
        <f>11466391.43-W61</f>
        <v>10610010.68</v>
      </c>
      <c r="X60" s="27">
        <f t="shared" si="12"/>
        <v>0.62704755561403136</v>
      </c>
    </row>
    <row r="61" spans="1:24" ht="63" customHeight="1" x14ac:dyDescent="0.2">
      <c r="A61" s="21" t="s">
        <v>84</v>
      </c>
      <c r="B61" s="22" t="s">
        <v>85</v>
      </c>
      <c r="C61" s="22" t="s">
        <v>47</v>
      </c>
      <c r="D61" s="22" t="s">
        <v>110</v>
      </c>
      <c r="E61" s="32" t="s">
        <v>101</v>
      </c>
      <c r="F61" s="32" t="s">
        <v>111</v>
      </c>
      <c r="G61" s="22" t="s">
        <v>51</v>
      </c>
      <c r="H61" s="22" t="s">
        <v>89</v>
      </c>
      <c r="I61" s="22" t="s">
        <v>60</v>
      </c>
      <c r="J61" s="43">
        <v>4</v>
      </c>
      <c r="K61" s="33">
        <v>200000</v>
      </c>
      <c r="L61" s="24">
        <v>696816.1</v>
      </c>
      <c r="M61" s="24">
        <v>0</v>
      </c>
      <c r="N61" s="25">
        <f t="shared" si="8"/>
        <v>896816.1</v>
      </c>
      <c r="O61" s="25"/>
      <c r="P61" s="25"/>
      <c r="Q61" s="25"/>
      <c r="R61" s="25">
        <f t="shared" si="9"/>
        <v>896816.1</v>
      </c>
      <c r="S61" s="24">
        <f>1498+13160.25+2350+859688</f>
        <v>876696.25</v>
      </c>
      <c r="T61" s="27">
        <f t="shared" si="10"/>
        <v>0.97756524442413562</v>
      </c>
      <c r="U61" s="45">
        <f>1498+2892.75+2350+849640</f>
        <v>856380.75</v>
      </c>
      <c r="V61" s="27">
        <f t="shared" si="11"/>
        <v>0.95491232817965688</v>
      </c>
      <c r="W61" s="24">
        <f>1498+2892.75+2350+849640</f>
        <v>856380.75</v>
      </c>
      <c r="X61" s="27">
        <f t="shared" si="12"/>
        <v>0.95491232817965688</v>
      </c>
    </row>
    <row r="62" spans="1:24" ht="63" customHeight="1" x14ac:dyDescent="0.2">
      <c r="A62" s="21" t="s">
        <v>84</v>
      </c>
      <c r="B62" s="22" t="s">
        <v>85</v>
      </c>
      <c r="C62" s="22" t="s">
        <v>47</v>
      </c>
      <c r="D62" s="22" t="s">
        <v>110</v>
      </c>
      <c r="E62" s="32" t="s">
        <v>101</v>
      </c>
      <c r="F62" s="32" t="s">
        <v>111</v>
      </c>
      <c r="G62" s="22" t="s">
        <v>51</v>
      </c>
      <c r="H62" s="22" t="s">
        <v>91</v>
      </c>
      <c r="I62" s="22" t="s">
        <v>60</v>
      </c>
      <c r="J62" s="23">
        <v>3</v>
      </c>
      <c r="K62" s="33">
        <v>0</v>
      </c>
      <c r="L62" s="24">
        <f>10364903.04-L63</f>
        <v>9356169.6799999997</v>
      </c>
      <c r="M62" s="24">
        <v>182200</v>
      </c>
      <c r="N62" s="25">
        <f t="shared" si="8"/>
        <v>9173969.6799999997</v>
      </c>
      <c r="O62" s="25"/>
      <c r="P62" s="25"/>
      <c r="Q62" s="25"/>
      <c r="R62" s="25">
        <f t="shared" si="9"/>
        <v>9173969.6799999997</v>
      </c>
      <c r="S62" s="34">
        <f>7271297.65-S63</f>
        <v>6582396.7200000007</v>
      </c>
      <c r="T62" s="27">
        <f t="shared" si="10"/>
        <v>0.71750800903017597</v>
      </c>
      <c r="U62" s="28">
        <f>4731158.16-U63</f>
        <v>4561858.2300000004</v>
      </c>
      <c r="V62" s="27">
        <f t="shared" si="11"/>
        <v>0.49726109733556484</v>
      </c>
      <c r="W62" s="24">
        <f>4731139.07-W63</f>
        <v>4561839.1400000006</v>
      </c>
      <c r="X62" s="27">
        <f t="shared" si="12"/>
        <v>0.49725901644793757</v>
      </c>
    </row>
    <row r="63" spans="1:24" ht="63" customHeight="1" x14ac:dyDescent="0.2">
      <c r="A63" s="21" t="s">
        <v>84</v>
      </c>
      <c r="B63" s="22" t="s">
        <v>85</v>
      </c>
      <c r="C63" s="22" t="s">
        <v>47</v>
      </c>
      <c r="D63" s="22" t="s">
        <v>110</v>
      </c>
      <c r="E63" s="32" t="s">
        <v>101</v>
      </c>
      <c r="F63" s="32" t="s">
        <v>111</v>
      </c>
      <c r="G63" s="22" t="s">
        <v>51</v>
      </c>
      <c r="H63" s="22" t="s">
        <v>91</v>
      </c>
      <c r="I63" s="22" t="s">
        <v>60</v>
      </c>
      <c r="J63" s="43">
        <v>4</v>
      </c>
      <c r="K63" s="33">
        <v>0</v>
      </c>
      <c r="L63" s="24">
        <v>1008733.36</v>
      </c>
      <c r="M63" s="24">
        <v>0</v>
      </c>
      <c r="N63" s="25">
        <f t="shared" si="8"/>
        <v>1008733.36</v>
      </c>
      <c r="O63" s="25"/>
      <c r="P63" s="25"/>
      <c r="Q63" s="25"/>
      <c r="R63" s="25">
        <f t="shared" si="9"/>
        <v>1008733.36</v>
      </c>
      <c r="S63" s="34">
        <f>97599.93+25659+41600+10350+82272+431420</f>
        <v>688900.92999999993</v>
      </c>
      <c r="T63" s="27">
        <f t="shared" si="10"/>
        <v>0.68293659882528313</v>
      </c>
      <c r="U63" s="45">
        <f>80199.93+9500+79600</f>
        <v>169299.93</v>
      </c>
      <c r="V63" s="27">
        <f t="shared" si="11"/>
        <v>0.16783417374042234</v>
      </c>
      <c r="W63" s="24">
        <f>80199.93+9500+79600</f>
        <v>169299.93</v>
      </c>
      <c r="X63" s="27">
        <f t="shared" si="12"/>
        <v>0.16783417374042234</v>
      </c>
    </row>
    <row r="64" spans="1:24" ht="34.5" hidden="1" customHeight="1" x14ac:dyDescent="0.2">
      <c r="A64" s="21" t="s">
        <v>84</v>
      </c>
      <c r="B64" s="22" t="s">
        <v>85</v>
      </c>
      <c r="C64" s="22" t="s">
        <v>47</v>
      </c>
      <c r="D64" s="22" t="s">
        <v>110</v>
      </c>
      <c r="E64" s="32" t="s">
        <v>62</v>
      </c>
      <c r="F64" s="32" t="s">
        <v>111</v>
      </c>
      <c r="G64" s="22" t="s">
        <v>51</v>
      </c>
      <c r="H64" s="22" t="s">
        <v>112</v>
      </c>
      <c r="I64" s="22" t="s">
        <v>53</v>
      </c>
      <c r="J64" s="23">
        <v>3</v>
      </c>
      <c r="K64" s="33"/>
      <c r="L64" s="24"/>
      <c r="M64" s="24"/>
      <c r="N64" s="25">
        <f t="shared" si="8"/>
        <v>0</v>
      </c>
      <c r="O64" s="25"/>
      <c r="P64" s="25"/>
      <c r="Q64" s="25"/>
      <c r="R64" s="25">
        <f t="shared" si="9"/>
        <v>0</v>
      </c>
      <c r="S64" s="34"/>
      <c r="T64" s="27">
        <f t="shared" si="10"/>
        <v>0</v>
      </c>
      <c r="U64" s="28"/>
      <c r="V64" s="27">
        <f t="shared" si="11"/>
        <v>0</v>
      </c>
      <c r="W64" s="24"/>
      <c r="X64" s="27">
        <f t="shared" si="12"/>
        <v>0</v>
      </c>
    </row>
    <row r="65" spans="1:24" ht="63" customHeight="1" x14ac:dyDescent="0.2">
      <c r="A65" s="21" t="s">
        <v>84</v>
      </c>
      <c r="B65" s="22" t="s">
        <v>85</v>
      </c>
      <c r="C65" s="22" t="s">
        <v>47</v>
      </c>
      <c r="D65" s="22" t="s">
        <v>113</v>
      </c>
      <c r="E65" s="32" t="s">
        <v>62</v>
      </c>
      <c r="F65" s="22" t="s">
        <v>114</v>
      </c>
      <c r="G65" s="22" t="s">
        <v>51</v>
      </c>
      <c r="H65" s="22" t="s">
        <v>89</v>
      </c>
      <c r="I65" s="22" t="s">
        <v>53</v>
      </c>
      <c r="J65" s="23">
        <v>3</v>
      </c>
      <c r="K65" s="33">
        <v>300000</v>
      </c>
      <c r="L65" s="24">
        <v>0</v>
      </c>
      <c r="M65" s="24">
        <v>0</v>
      </c>
      <c r="N65" s="25">
        <f t="shared" si="8"/>
        <v>300000</v>
      </c>
      <c r="O65" s="25"/>
      <c r="P65" s="25"/>
      <c r="Q65" s="25"/>
      <c r="R65" s="25">
        <f t="shared" si="9"/>
        <v>300000</v>
      </c>
      <c r="S65" s="34">
        <v>248799.63</v>
      </c>
      <c r="T65" s="27">
        <f t="shared" si="10"/>
        <v>0.82933210000000002</v>
      </c>
      <c r="U65" s="28">
        <v>248799.63</v>
      </c>
      <c r="V65" s="27">
        <f t="shared" si="11"/>
        <v>0.82933210000000002</v>
      </c>
      <c r="W65" s="24">
        <v>248799.63</v>
      </c>
      <c r="X65" s="27">
        <f t="shared" si="12"/>
        <v>0.82933210000000002</v>
      </c>
    </row>
    <row r="66" spans="1:24" ht="63" customHeight="1" x14ac:dyDescent="0.2">
      <c r="A66" s="21" t="s">
        <v>84</v>
      </c>
      <c r="B66" s="22" t="s">
        <v>85</v>
      </c>
      <c r="C66" s="22" t="s">
        <v>47</v>
      </c>
      <c r="D66" s="22" t="s">
        <v>68</v>
      </c>
      <c r="E66" s="32" t="s">
        <v>62</v>
      </c>
      <c r="F66" s="22" t="s">
        <v>69</v>
      </c>
      <c r="G66" s="22" t="s">
        <v>51</v>
      </c>
      <c r="H66" s="22" t="s">
        <v>89</v>
      </c>
      <c r="I66" s="22" t="s">
        <v>53</v>
      </c>
      <c r="J66" s="23">
        <v>3</v>
      </c>
      <c r="K66" s="33">
        <v>15000</v>
      </c>
      <c r="L66" s="24">
        <v>0</v>
      </c>
      <c r="M66" s="24">
        <v>0</v>
      </c>
      <c r="N66" s="25">
        <f t="shared" si="8"/>
        <v>15000</v>
      </c>
      <c r="O66" s="25"/>
      <c r="P66" s="25"/>
      <c r="Q66" s="25"/>
      <c r="R66" s="25">
        <f t="shared" si="9"/>
        <v>15000</v>
      </c>
      <c r="S66" s="34">
        <v>0</v>
      </c>
      <c r="T66" s="27">
        <f t="shared" si="10"/>
        <v>0</v>
      </c>
      <c r="U66" s="54">
        <v>0</v>
      </c>
      <c r="V66" s="27">
        <f t="shared" si="11"/>
        <v>0</v>
      </c>
      <c r="W66" s="24">
        <v>0</v>
      </c>
      <c r="X66" s="27">
        <f t="shared" si="12"/>
        <v>0</v>
      </c>
    </row>
    <row r="67" spans="1:24" ht="63" customHeight="1" x14ac:dyDescent="0.2">
      <c r="A67" s="21" t="s">
        <v>84</v>
      </c>
      <c r="B67" s="22" t="s">
        <v>85</v>
      </c>
      <c r="C67" s="22" t="s">
        <v>47</v>
      </c>
      <c r="D67" s="22" t="s">
        <v>68</v>
      </c>
      <c r="E67" s="32" t="s">
        <v>62</v>
      </c>
      <c r="F67" s="22" t="s">
        <v>69</v>
      </c>
      <c r="G67" s="22" t="s">
        <v>51</v>
      </c>
      <c r="H67" s="22" t="s">
        <v>91</v>
      </c>
      <c r="I67" s="22" t="s">
        <v>53</v>
      </c>
      <c r="J67" s="23">
        <v>3</v>
      </c>
      <c r="K67" s="33">
        <v>0</v>
      </c>
      <c r="L67" s="24">
        <v>112500</v>
      </c>
      <c r="M67" s="24">
        <v>0</v>
      </c>
      <c r="N67" s="25">
        <f t="shared" si="8"/>
        <v>112500</v>
      </c>
      <c r="O67" s="25"/>
      <c r="P67" s="25"/>
      <c r="Q67" s="25"/>
      <c r="R67" s="25">
        <f t="shared" si="9"/>
        <v>112500</v>
      </c>
      <c r="S67" s="34">
        <v>68605.2</v>
      </c>
      <c r="T67" s="27">
        <f t="shared" si="10"/>
        <v>0.60982399999999992</v>
      </c>
      <c r="U67" s="28">
        <v>68605.2</v>
      </c>
      <c r="V67" s="27">
        <f t="shared" si="11"/>
        <v>0.60982399999999992</v>
      </c>
      <c r="W67" s="24">
        <v>68605.2</v>
      </c>
      <c r="X67" s="27">
        <f t="shared" si="12"/>
        <v>0.60982399999999992</v>
      </c>
    </row>
    <row r="68" spans="1:24" ht="72" customHeight="1" x14ac:dyDescent="0.2">
      <c r="A68" s="21" t="s">
        <v>84</v>
      </c>
      <c r="B68" s="22" t="s">
        <v>85</v>
      </c>
      <c r="C68" s="22" t="s">
        <v>115</v>
      </c>
      <c r="D68" s="22" t="s">
        <v>116</v>
      </c>
      <c r="E68" s="32" t="s">
        <v>62</v>
      </c>
      <c r="F68" s="22" t="s">
        <v>117</v>
      </c>
      <c r="G68" s="22" t="s">
        <v>51</v>
      </c>
      <c r="H68" s="22" t="s">
        <v>89</v>
      </c>
      <c r="I68" s="22" t="s">
        <v>53</v>
      </c>
      <c r="J68" s="23">
        <v>3</v>
      </c>
      <c r="K68" s="33">
        <f>18113000-K69</f>
        <v>15720000</v>
      </c>
      <c r="L68" s="24">
        <v>791000</v>
      </c>
      <c r="M68" s="24">
        <f>6802790.87-M69</f>
        <v>4751741.3</v>
      </c>
      <c r="N68" s="25">
        <f t="shared" si="8"/>
        <v>11759258.699999999</v>
      </c>
      <c r="O68" s="25"/>
      <c r="P68" s="25"/>
      <c r="Q68" s="25"/>
      <c r="R68" s="25">
        <f t="shared" si="9"/>
        <v>11759258.699999999</v>
      </c>
      <c r="S68" s="34">
        <f>10469834.45-S69</f>
        <v>10447634.449999999</v>
      </c>
      <c r="T68" s="27">
        <f t="shared" si="10"/>
        <v>0.88846029469527699</v>
      </c>
      <c r="U68" s="28">
        <f>7142625.21-U69</f>
        <v>7120425.21</v>
      </c>
      <c r="V68" s="27">
        <f t="shared" si="11"/>
        <v>0.60551650334897389</v>
      </c>
      <c r="W68" s="24">
        <f>7142625.21-W69</f>
        <v>7120425.21</v>
      </c>
      <c r="X68" s="27">
        <f t="shared" si="12"/>
        <v>0.60551650334897389</v>
      </c>
    </row>
    <row r="69" spans="1:24" ht="72" customHeight="1" x14ac:dyDescent="0.2">
      <c r="A69" s="21" t="s">
        <v>84</v>
      </c>
      <c r="B69" s="22" t="s">
        <v>85</v>
      </c>
      <c r="C69" s="22" t="s">
        <v>115</v>
      </c>
      <c r="D69" s="22" t="s">
        <v>116</v>
      </c>
      <c r="E69" s="32" t="s">
        <v>62</v>
      </c>
      <c r="F69" s="22" t="s">
        <v>117</v>
      </c>
      <c r="G69" s="22" t="s">
        <v>51</v>
      </c>
      <c r="H69" s="22" t="s">
        <v>89</v>
      </c>
      <c r="I69" s="22" t="s">
        <v>53</v>
      </c>
      <c r="J69" s="43">
        <v>4</v>
      </c>
      <c r="K69" s="33">
        <v>2393000</v>
      </c>
      <c r="L69" s="24">
        <v>0</v>
      </c>
      <c r="M69" s="24">
        <v>2051049.57</v>
      </c>
      <c r="N69" s="25">
        <f t="shared" si="8"/>
        <v>341950.42999999993</v>
      </c>
      <c r="O69" s="25"/>
      <c r="P69" s="25"/>
      <c r="Q69" s="25"/>
      <c r="R69" s="25">
        <f t="shared" si="9"/>
        <v>341950.42999999993</v>
      </c>
      <c r="S69" s="34">
        <v>22200</v>
      </c>
      <c r="T69" s="27">
        <f t="shared" si="10"/>
        <v>6.4921690550294106E-2</v>
      </c>
      <c r="U69" s="45">
        <v>22200</v>
      </c>
      <c r="V69" s="27">
        <f t="shared" si="11"/>
        <v>6.4921690550294106E-2</v>
      </c>
      <c r="W69" s="24">
        <v>22200</v>
      </c>
      <c r="X69" s="27">
        <f t="shared" si="12"/>
        <v>6.4921690550294106E-2</v>
      </c>
    </row>
    <row r="70" spans="1:24" ht="72" hidden="1" customHeight="1" x14ac:dyDescent="0.2">
      <c r="A70" s="21" t="s">
        <v>84</v>
      </c>
      <c r="B70" s="22" t="s">
        <v>85</v>
      </c>
      <c r="C70" s="22" t="s">
        <v>115</v>
      </c>
      <c r="D70" s="22" t="s">
        <v>116</v>
      </c>
      <c r="E70" s="32" t="s">
        <v>62</v>
      </c>
      <c r="F70" s="22" t="s">
        <v>117</v>
      </c>
      <c r="G70" s="22" t="s">
        <v>51</v>
      </c>
      <c r="H70" s="22" t="s">
        <v>91</v>
      </c>
      <c r="I70" s="22" t="s">
        <v>53</v>
      </c>
      <c r="J70" s="23">
        <v>3</v>
      </c>
      <c r="K70" s="33"/>
      <c r="L70" s="24"/>
      <c r="M70" s="24"/>
      <c r="N70" s="25">
        <f t="shared" si="8"/>
        <v>0</v>
      </c>
      <c r="O70" s="25"/>
      <c r="P70" s="25"/>
      <c r="Q70" s="25"/>
      <c r="R70" s="25">
        <f t="shared" si="9"/>
        <v>0</v>
      </c>
      <c r="S70" s="34"/>
      <c r="T70" s="27">
        <f t="shared" si="10"/>
        <v>0</v>
      </c>
      <c r="U70" s="28"/>
      <c r="V70" s="27">
        <f t="shared" si="11"/>
        <v>0</v>
      </c>
      <c r="W70" s="24"/>
      <c r="X70" s="27">
        <f t="shared" si="12"/>
        <v>0</v>
      </c>
    </row>
    <row r="71" spans="1:24" ht="72" customHeight="1" x14ac:dyDescent="0.2">
      <c r="A71" s="21" t="s">
        <v>84</v>
      </c>
      <c r="B71" s="22" t="s">
        <v>85</v>
      </c>
      <c r="C71" s="22" t="s">
        <v>115</v>
      </c>
      <c r="D71" s="22" t="s">
        <v>116</v>
      </c>
      <c r="E71" s="32" t="s">
        <v>62</v>
      </c>
      <c r="F71" s="22" t="s">
        <v>117</v>
      </c>
      <c r="G71" s="22" t="s">
        <v>51</v>
      </c>
      <c r="H71" s="22" t="s">
        <v>91</v>
      </c>
      <c r="I71" s="22" t="s">
        <v>53</v>
      </c>
      <c r="J71" s="23">
        <v>3</v>
      </c>
      <c r="K71" s="33">
        <v>0</v>
      </c>
      <c r="L71" s="24">
        <f>12976833-L72</f>
        <v>6616600</v>
      </c>
      <c r="M71" s="24">
        <v>0</v>
      </c>
      <c r="N71" s="25">
        <f t="shared" si="8"/>
        <v>6616600</v>
      </c>
      <c r="O71" s="25"/>
      <c r="P71" s="25"/>
      <c r="Q71" s="25"/>
      <c r="R71" s="25">
        <f t="shared" si="9"/>
        <v>6616600</v>
      </c>
      <c r="S71" s="34">
        <f>12581931.24-S72</f>
        <v>6258732.2400000002</v>
      </c>
      <c r="T71" s="27">
        <f t="shared" si="10"/>
        <v>0.94591364749267004</v>
      </c>
      <c r="U71" s="54">
        <f>2661318.14-U72</f>
        <v>423618.14000000013</v>
      </c>
      <c r="V71" s="27">
        <f t="shared" si="11"/>
        <v>6.402353776864253E-2</v>
      </c>
      <c r="W71" s="24">
        <f>2661318.14-W72</f>
        <v>423618.14000000013</v>
      </c>
      <c r="X71" s="27">
        <f t="shared" si="12"/>
        <v>6.402353776864253E-2</v>
      </c>
    </row>
    <row r="72" spans="1:24" ht="72" customHeight="1" x14ac:dyDescent="0.2">
      <c r="A72" s="21" t="s">
        <v>84</v>
      </c>
      <c r="B72" s="22" t="s">
        <v>85</v>
      </c>
      <c r="C72" s="22" t="s">
        <v>115</v>
      </c>
      <c r="D72" s="22" t="s">
        <v>116</v>
      </c>
      <c r="E72" s="32" t="s">
        <v>62</v>
      </c>
      <c r="F72" s="22" t="s">
        <v>117</v>
      </c>
      <c r="G72" s="22" t="s">
        <v>51</v>
      </c>
      <c r="H72" s="22" t="s">
        <v>91</v>
      </c>
      <c r="I72" s="22" t="s">
        <v>53</v>
      </c>
      <c r="J72" s="43">
        <v>4</v>
      </c>
      <c r="K72" s="33">
        <v>0</v>
      </c>
      <c r="L72" s="24">
        <v>6360233</v>
      </c>
      <c r="M72" s="24">
        <v>0</v>
      </c>
      <c r="N72" s="25">
        <f t="shared" si="8"/>
        <v>6360233</v>
      </c>
      <c r="O72" s="25"/>
      <c r="P72" s="25"/>
      <c r="Q72" s="25"/>
      <c r="R72" s="25">
        <f t="shared" si="9"/>
        <v>6360233</v>
      </c>
      <c r="S72" s="34">
        <f>137700+6185499</f>
        <v>6323199</v>
      </c>
      <c r="T72" s="27">
        <f t="shared" si="10"/>
        <v>0.99417725734261619</v>
      </c>
      <c r="U72" s="45">
        <f>137700+2100000</f>
        <v>2237700</v>
      </c>
      <c r="V72" s="27">
        <f t="shared" si="11"/>
        <v>0.35182673339168552</v>
      </c>
      <c r="W72" s="24">
        <f>137700+2100000</f>
        <v>2237700</v>
      </c>
      <c r="X72" s="27">
        <f t="shared" si="12"/>
        <v>0.35182673339168552</v>
      </c>
    </row>
    <row r="73" spans="1:24" ht="72" customHeight="1" x14ac:dyDescent="0.2">
      <c r="A73" s="21" t="s">
        <v>84</v>
      </c>
      <c r="B73" s="22" t="s">
        <v>85</v>
      </c>
      <c r="C73" s="22" t="s">
        <v>115</v>
      </c>
      <c r="D73" s="22" t="s">
        <v>118</v>
      </c>
      <c r="E73" s="32" t="s">
        <v>62</v>
      </c>
      <c r="F73" s="22" t="s">
        <v>119</v>
      </c>
      <c r="G73" s="22" t="s">
        <v>51</v>
      </c>
      <c r="H73" s="22" t="s">
        <v>89</v>
      </c>
      <c r="I73" s="22" t="s">
        <v>53</v>
      </c>
      <c r="J73" s="23">
        <v>3</v>
      </c>
      <c r="K73" s="33">
        <f>5300000-K74</f>
        <v>4400000</v>
      </c>
      <c r="L73" s="24">
        <f>2838209.31-L74</f>
        <v>1806209.31</v>
      </c>
      <c r="M73" s="24">
        <f>1700547.89-M74</f>
        <v>87509.309999999823</v>
      </c>
      <c r="N73" s="25">
        <f t="shared" si="8"/>
        <v>6118700.0000000009</v>
      </c>
      <c r="O73" s="25"/>
      <c r="P73" s="25"/>
      <c r="Q73" s="25"/>
      <c r="R73" s="25">
        <f t="shared" si="9"/>
        <v>6118700.0000000009</v>
      </c>
      <c r="S73" s="34">
        <f>6004359.74-S74</f>
        <v>5876914.7400000002</v>
      </c>
      <c r="T73" s="27">
        <f t="shared" si="10"/>
        <v>0.96048421069835088</v>
      </c>
      <c r="U73" s="28">
        <f>1706863.07-U74</f>
        <v>1674863.07</v>
      </c>
      <c r="V73" s="27">
        <f t="shared" si="11"/>
        <v>0.27372858123457594</v>
      </c>
      <c r="W73" s="24">
        <f>1706863.07-W74</f>
        <v>1674863.07</v>
      </c>
      <c r="X73" s="27">
        <f t="shared" si="12"/>
        <v>0.27372858123457594</v>
      </c>
    </row>
    <row r="74" spans="1:24" ht="72" customHeight="1" x14ac:dyDescent="0.2">
      <c r="A74" s="21" t="s">
        <v>84</v>
      </c>
      <c r="B74" s="22" t="s">
        <v>85</v>
      </c>
      <c r="C74" s="22" t="s">
        <v>115</v>
      </c>
      <c r="D74" s="22" t="s">
        <v>118</v>
      </c>
      <c r="E74" s="32" t="s">
        <v>62</v>
      </c>
      <c r="F74" s="22" t="s">
        <v>119</v>
      </c>
      <c r="G74" s="22" t="s">
        <v>51</v>
      </c>
      <c r="H74" s="22" t="s">
        <v>89</v>
      </c>
      <c r="I74" s="22" t="s">
        <v>53</v>
      </c>
      <c r="J74" s="43">
        <v>4</v>
      </c>
      <c r="K74" s="33">
        <v>900000</v>
      </c>
      <c r="L74" s="24">
        <v>1032000</v>
      </c>
      <c r="M74" s="24">
        <f>713038.58+900000</f>
        <v>1613038.58</v>
      </c>
      <c r="N74" s="25">
        <f t="shared" si="8"/>
        <v>318961.41999999993</v>
      </c>
      <c r="O74" s="25"/>
      <c r="P74" s="25"/>
      <c r="Q74" s="25"/>
      <c r="R74" s="25">
        <f t="shared" si="9"/>
        <v>318961.41999999993</v>
      </c>
      <c r="S74" s="34">
        <f>127445</f>
        <v>127445</v>
      </c>
      <c r="T74" s="27">
        <f t="shared" si="10"/>
        <v>0.39956242983869344</v>
      </c>
      <c r="U74" s="45">
        <v>32000</v>
      </c>
      <c r="V74" s="27">
        <f t="shared" si="11"/>
        <v>0.10032561304749649</v>
      </c>
      <c r="W74" s="24">
        <v>32000</v>
      </c>
      <c r="X74" s="27">
        <f t="shared" si="12"/>
        <v>0.10032561304749649</v>
      </c>
    </row>
    <row r="75" spans="1:24" ht="72" hidden="1" customHeight="1" x14ac:dyDescent="0.2">
      <c r="A75" s="21" t="s">
        <v>84</v>
      </c>
      <c r="B75" s="22" t="s">
        <v>85</v>
      </c>
      <c r="C75" s="22" t="s">
        <v>115</v>
      </c>
      <c r="D75" s="22" t="s">
        <v>118</v>
      </c>
      <c r="E75" s="32" t="s">
        <v>62</v>
      </c>
      <c r="F75" s="22" t="s">
        <v>119</v>
      </c>
      <c r="G75" s="22" t="s">
        <v>51</v>
      </c>
      <c r="H75" s="22" t="s">
        <v>91</v>
      </c>
      <c r="I75" s="22" t="s">
        <v>53</v>
      </c>
      <c r="J75" s="43">
        <v>4</v>
      </c>
      <c r="K75" s="33"/>
      <c r="L75" s="24"/>
      <c r="M75" s="24"/>
      <c r="N75" s="25">
        <f t="shared" si="8"/>
        <v>0</v>
      </c>
      <c r="O75" s="25"/>
      <c r="P75" s="25"/>
      <c r="Q75" s="25"/>
      <c r="R75" s="25">
        <f t="shared" si="9"/>
        <v>0</v>
      </c>
      <c r="S75" s="34"/>
      <c r="T75" s="27">
        <f t="shared" si="10"/>
        <v>0</v>
      </c>
      <c r="U75" s="45"/>
      <c r="V75" s="27">
        <f t="shared" si="11"/>
        <v>0</v>
      </c>
      <c r="W75" s="24"/>
      <c r="X75" s="27">
        <f t="shared" si="12"/>
        <v>0</v>
      </c>
    </row>
    <row r="76" spans="1:24" ht="72" customHeight="1" x14ac:dyDescent="0.2">
      <c r="A76" s="21" t="s">
        <v>84</v>
      </c>
      <c r="B76" s="22" t="s">
        <v>85</v>
      </c>
      <c r="C76" s="22" t="s">
        <v>115</v>
      </c>
      <c r="D76" s="22" t="s">
        <v>118</v>
      </c>
      <c r="E76" s="32" t="s">
        <v>62</v>
      </c>
      <c r="F76" s="22" t="s">
        <v>119</v>
      </c>
      <c r="G76" s="22" t="s">
        <v>51</v>
      </c>
      <c r="H76" s="22" t="s">
        <v>91</v>
      </c>
      <c r="I76" s="22" t="s">
        <v>53</v>
      </c>
      <c r="J76" s="23">
        <v>3</v>
      </c>
      <c r="K76" s="33">
        <v>0</v>
      </c>
      <c r="L76" s="24">
        <v>1626560</v>
      </c>
      <c r="M76" s="24">
        <v>0</v>
      </c>
      <c r="N76" s="25">
        <f t="shared" si="8"/>
        <v>1626560</v>
      </c>
      <c r="O76" s="25"/>
      <c r="P76" s="25"/>
      <c r="Q76" s="25"/>
      <c r="R76" s="25">
        <f t="shared" si="9"/>
        <v>1626560</v>
      </c>
      <c r="S76" s="34">
        <f>22972844.34-S77</f>
        <v>1626554.3399999999</v>
      </c>
      <c r="T76" s="27">
        <f t="shared" si="10"/>
        <v>0.99999652026362373</v>
      </c>
      <c r="U76" s="28">
        <v>0</v>
      </c>
      <c r="V76" s="27">
        <f t="shared" si="11"/>
        <v>0</v>
      </c>
      <c r="W76" s="24">
        <v>0</v>
      </c>
      <c r="X76" s="27">
        <f t="shared" si="12"/>
        <v>0</v>
      </c>
    </row>
    <row r="77" spans="1:24" ht="72" customHeight="1" x14ac:dyDescent="0.2">
      <c r="A77" s="21" t="s">
        <v>84</v>
      </c>
      <c r="B77" s="22" t="s">
        <v>85</v>
      </c>
      <c r="C77" s="22" t="s">
        <v>115</v>
      </c>
      <c r="D77" s="22" t="s">
        <v>118</v>
      </c>
      <c r="E77" s="32" t="s">
        <v>62</v>
      </c>
      <c r="F77" s="22" t="s">
        <v>119</v>
      </c>
      <c r="G77" s="22" t="s">
        <v>51</v>
      </c>
      <c r="H77" s="22" t="s">
        <v>91</v>
      </c>
      <c r="I77" s="22" t="s">
        <v>53</v>
      </c>
      <c r="J77" s="43">
        <v>4</v>
      </c>
      <c r="K77" s="33">
        <v>0</v>
      </c>
      <c r="L77" s="24">
        <v>21346290</v>
      </c>
      <c r="M77" s="24">
        <v>0</v>
      </c>
      <c r="N77" s="25">
        <f t="shared" si="8"/>
        <v>21346290</v>
      </c>
      <c r="O77" s="25"/>
      <c r="P77" s="25"/>
      <c r="Q77" s="25"/>
      <c r="R77" s="25">
        <f t="shared" si="9"/>
        <v>21346290</v>
      </c>
      <c r="S77" s="34">
        <f>17288290+4058000</f>
        <v>21346290</v>
      </c>
      <c r="T77" s="27">
        <f t="shared" si="10"/>
        <v>1</v>
      </c>
      <c r="U77" s="45">
        <v>0</v>
      </c>
      <c r="V77" s="27">
        <f t="shared" si="11"/>
        <v>0</v>
      </c>
      <c r="W77" s="24">
        <v>0</v>
      </c>
      <c r="X77" s="27">
        <f t="shared" si="12"/>
        <v>0</v>
      </c>
    </row>
    <row r="78" spans="1:24" ht="63" customHeight="1" x14ac:dyDescent="0.2">
      <c r="A78" s="21" t="s">
        <v>84</v>
      </c>
      <c r="B78" s="22" t="s">
        <v>85</v>
      </c>
      <c r="C78" s="22" t="s">
        <v>73</v>
      </c>
      <c r="D78" s="22" t="s">
        <v>74</v>
      </c>
      <c r="E78" s="32" t="s">
        <v>62</v>
      </c>
      <c r="F78" s="22" t="s">
        <v>120</v>
      </c>
      <c r="G78" s="22" t="s">
        <v>51</v>
      </c>
      <c r="H78" s="22" t="s">
        <v>89</v>
      </c>
      <c r="I78" s="22" t="s">
        <v>53</v>
      </c>
      <c r="J78" s="23">
        <v>3</v>
      </c>
      <c r="K78" s="33">
        <v>0</v>
      </c>
      <c r="L78" s="24">
        <v>1350000</v>
      </c>
      <c r="M78" s="24">
        <v>0</v>
      </c>
      <c r="N78" s="25">
        <f t="shared" si="8"/>
        <v>1350000</v>
      </c>
      <c r="O78" s="25"/>
      <c r="P78" s="25"/>
      <c r="Q78" s="25"/>
      <c r="R78" s="25">
        <f t="shared" si="9"/>
        <v>1350000</v>
      </c>
      <c r="S78" s="34">
        <v>1350000</v>
      </c>
      <c r="T78" s="27">
        <f t="shared" si="10"/>
        <v>1</v>
      </c>
      <c r="U78" s="28">
        <v>1350000</v>
      </c>
      <c r="V78" s="27">
        <f t="shared" si="11"/>
        <v>1</v>
      </c>
      <c r="W78" s="24">
        <v>1350000</v>
      </c>
      <c r="X78" s="27">
        <f t="shared" si="12"/>
        <v>1</v>
      </c>
    </row>
    <row r="79" spans="1:24" ht="63" customHeight="1" x14ac:dyDescent="0.2">
      <c r="A79" s="21" t="s">
        <v>84</v>
      </c>
      <c r="B79" s="22" t="s">
        <v>85</v>
      </c>
      <c r="C79" s="22" t="s">
        <v>73</v>
      </c>
      <c r="D79" s="22" t="s">
        <v>74</v>
      </c>
      <c r="E79" s="32" t="s">
        <v>62</v>
      </c>
      <c r="F79" s="22" t="s">
        <v>120</v>
      </c>
      <c r="G79" s="22" t="s">
        <v>51</v>
      </c>
      <c r="H79" s="22" t="s">
        <v>109</v>
      </c>
      <c r="I79" s="22" t="s">
        <v>53</v>
      </c>
      <c r="J79" s="23">
        <v>3</v>
      </c>
      <c r="K79" s="33">
        <v>300000</v>
      </c>
      <c r="L79" s="24">
        <v>104241.5</v>
      </c>
      <c r="M79" s="24">
        <v>104241.5</v>
      </c>
      <c r="N79" s="25">
        <f t="shared" si="8"/>
        <v>300000</v>
      </c>
      <c r="O79" s="25"/>
      <c r="P79" s="25"/>
      <c r="Q79" s="25"/>
      <c r="R79" s="25">
        <f t="shared" si="9"/>
        <v>300000</v>
      </c>
      <c r="S79" s="34">
        <v>284590</v>
      </c>
      <c r="T79" s="27">
        <f t="shared" si="10"/>
        <v>0.94863333333333333</v>
      </c>
      <c r="U79" s="28">
        <v>215914.82</v>
      </c>
      <c r="V79" s="27">
        <f t="shared" si="11"/>
        <v>0.71971606666666665</v>
      </c>
      <c r="W79" s="24">
        <v>215914.82</v>
      </c>
      <c r="X79" s="27">
        <f t="shared" si="12"/>
        <v>0.71971606666666665</v>
      </c>
    </row>
    <row r="80" spans="1:24" ht="63" customHeight="1" x14ac:dyDescent="0.2">
      <c r="A80" s="21" t="s">
        <v>84</v>
      </c>
      <c r="B80" s="22" t="s">
        <v>85</v>
      </c>
      <c r="C80" s="22" t="s">
        <v>73</v>
      </c>
      <c r="D80" s="22" t="s">
        <v>74</v>
      </c>
      <c r="E80" s="32" t="s">
        <v>62</v>
      </c>
      <c r="F80" s="22" t="s">
        <v>120</v>
      </c>
      <c r="G80" s="22" t="s">
        <v>51</v>
      </c>
      <c r="H80" s="22" t="s">
        <v>112</v>
      </c>
      <c r="I80" s="22" t="s">
        <v>53</v>
      </c>
      <c r="J80" s="23">
        <v>3</v>
      </c>
      <c r="K80" s="33">
        <v>0</v>
      </c>
      <c r="L80" s="24">
        <v>1149532.8999999999</v>
      </c>
      <c r="M80" s="24">
        <v>0</v>
      </c>
      <c r="N80" s="25">
        <f t="shared" si="8"/>
        <v>1149532.8999999999</v>
      </c>
      <c r="O80" s="25"/>
      <c r="P80" s="25"/>
      <c r="Q80" s="25"/>
      <c r="R80" s="25">
        <f t="shared" si="9"/>
        <v>1149532.8999999999</v>
      </c>
      <c r="S80" s="34">
        <v>398343.9</v>
      </c>
      <c r="T80" s="27">
        <f t="shared" si="10"/>
        <v>0.34652675012607298</v>
      </c>
      <c r="U80" s="28">
        <v>185985</v>
      </c>
      <c r="V80" s="27">
        <f t="shared" si="11"/>
        <v>0.16179180256606837</v>
      </c>
      <c r="W80" s="24">
        <v>185985</v>
      </c>
      <c r="X80" s="27">
        <f t="shared" si="12"/>
        <v>0.16179180256606837</v>
      </c>
    </row>
    <row r="81" spans="1:24" ht="14.25" customHeight="1" x14ac:dyDescent="0.2">
      <c r="A81" s="119" t="s">
        <v>121</v>
      </c>
      <c r="B81" s="115"/>
      <c r="C81" s="115"/>
      <c r="D81" s="115"/>
      <c r="E81" s="115"/>
      <c r="F81" s="115"/>
      <c r="G81" s="115"/>
      <c r="H81" s="115"/>
      <c r="I81" s="115"/>
      <c r="J81" s="113"/>
      <c r="K81" s="38">
        <f t="shared" ref="K81:S81" si="13">SUM(K33:K80)</f>
        <v>83793000</v>
      </c>
      <c r="L81" s="38">
        <f t="shared" si="13"/>
        <v>95964797.940000013</v>
      </c>
      <c r="M81" s="38">
        <f t="shared" si="13"/>
        <v>21046732.560000002</v>
      </c>
      <c r="N81" s="38">
        <f t="shared" si="13"/>
        <v>158711065.38000003</v>
      </c>
      <c r="O81" s="38">
        <f t="shared" si="13"/>
        <v>0</v>
      </c>
      <c r="P81" s="38">
        <f t="shared" si="13"/>
        <v>0</v>
      </c>
      <c r="Q81" s="38">
        <f t="shared" si="13"/>
        <v>0</v>
      </c>
      <c r="R81" s="38">
        <f t="shared" si="13"/>
        <v>158711065.38000003</v>
      </c>
      <c r="S81" s="38">
        <f t="shared" si="13"/>
        <v>141792046.70000002</v>
      </c>
      <c r="T81" s="39">
        <f t="shared" si="10"/>
        <v>0.89339735928625397</v>
      </c>
      <c r="U81" s="38">
        <f>SUM(U33:U80)</f>
        <v>62418728.080000006</v>
      </c>
      <c r="V81" s="39">
        <f t="shared" si="11"/>
        <v>0.39328529444718668</v>
      </c>
      <c r="W81" s="38">
        <f>SUM(W33:W80)</f>
        <v>62153523.880000003</v>
      </c>
      <c r="X81" s="39">
        <f t="shared" si="12"/>
        <v>0.39161430698726996</v>
      </c>
    </row>
    <row r="82" spans="1:24" ht="14.25" customHeight="1" x14ac:dyDescent="0.2">
      <c r="A82" s="120" t="s">
        <v>122</v>
      </c>
      <c r="B82" s="115"/>
      <c r="C82" s="115"/>
      <c r="D82" s="115"/>
      <c r="E82" s="115"/>
      <c r="F82" s="115"/>
      <c r="G82" s="115"/>
      <c r="H82" s="115"/>
      <c r="I82" s="115"/>
      <c r="J82" s="113"/>
      <c r="K82" s="55">
        <f t="shared" ref="K82:S82" si="14">SUM(K30+K81)</f>
        <v>953062000</v>
      </c>
      <c r="L82" s="55">
        <f t="shared" si="14"/>
        <v>126709226.11000001</v>
      </c>
      <c r="M82" s="55">
        <f t="shared" si="14"/>
        <v>51791160.730000004</v>
      </c>
      <c r="N82" s="55">
        <f t="shared" si="14"/>
        <v>1027980065.38</v>
      </c>
      <c r="O82" s="55">
        <f t="shared" si="14"/>
        <v>0</v>
      </c>
      <c r="P82" s="55">
        <f t="shared" si="14"/>
        <v>0</v>
      </c>
      <c r="Q82" s="55">
        <f t="shared" si="14"/>
        <v>-22571350</v>
      </c>
      <c r="R82" s="55">
        <f t="shared" si="14"/>
        <v>1005408715.38</v>
      </c>
      <c r="S82" s="55">
        <f t="shared" si="14"/>
        <v>654024922.70000005</v>
      </c>
      <c r="T82" s="56">
        <f t="shared" si="10"/>
        <v>0.65050651809081206</v>
      </c>
      <c r="U82" s="55">
        <f>SUM(U30+U81)</f>
        <v>574149116.33000016</v>
      </c>
      <c r="V82" s="56">
        <f t="shared" si="11"/>
        <v>0.5710604130908068</v>
      </c>
      <c r="W82" s="55">
        <f>SUM(W30+W81)</f>
        <v>571698177.80000019</v>
      </c>
      <c r="X82" s="56">
        <f t="shared" si="12"/>
        <v>0.56862265967519843</v>
      </c>
    </row>
    <row r="83" spans="1:24" ht="14.25" customHeight="1" x14ac:dyDescent="0.2">
      <c r="A83" s="57" t="s">
        <v>123</v>
      </c>
      <c r="B83" s="58"/>
      <c r="C83" s="58"/>
      <c r="D83" s="58"/>
      <c r="E83" s="58"/>
      <c r="F83" s="58"/>
      <c r="G83" s="58"/>
      <c r="H83" s="59"/>
      <c r="I83" s="59"/>
      <c r="J83" s="59"/>
      <c r="K83" s="58"/>
      <c r="L83" s="58"/>
      <c r="M83" s="60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</row>
    <row r="84" spans="1:24" ht="14.25" customHeight="1" x14ac:dyDescent="0.2">
      <c r="A84" s="57" t="s">
        <v>124</v>
      </c>
      <c r="B84" s="62"/>
      <c r="C84" s="58"/>
      <c r="D84" s="58"/>
      <c r="E84" s="58"/>
      <c r="F84" s="58"/>
      <c r="G84" s="58"/>
      <c r="H84" s="59"/>
      <c r="I84" s="59"/>
      <c r="J84" s="59"/>
      <c r="K84" s="58"/>
      <c r="L84" s="58"/>
      <c r="M84" s="60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</row>
    <row r="85" spans="1:24" ht="14.25" customHeight="1" x14ac:dyDescent="0.2">
      <c r="A85" s="121" t="s">
        <v>125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3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</row>
    <row r="86" spans="1:24" ht="14.25" customHeight="1" x14ac:dyDescent="0.2"/>
    <row r="87" spans="1:24" ht="14.25" customHeight="1" x14ac:dyDescent="0.2"/>
    <row r="88" spans="1:24" ht="14.25" customHeight="1" x14ac:dyDescent="0.2"/>
    <row r="89" spans="1:24" ht="14.25" customHeight="1" x14ac:dyDescent="0.2"/>
    <row r="90" spans="1:24" ht="14.25" customHeight="1" x14ac:dyDescent="0.2"/>
    <row r="91" spans="1:24" ht="14.25" customHeight="1" x14ac:dyDescent="0.2"/>
    <row r="92" spans="1:24" ht="15.75" customHeight="1" x14ac:dyDescent="0.2">
      <c r="Q92" s="69" t="s">
        <v>31</v>
      </c>
      <c r="R92" s="69"/>
      <c r="S92" s="70"/>
      <c r="T92" s="69" t="s">
        <v>32</v>
      </c>
      <c r="U92" s="69"/>
      <c r="V92" s="64"/>
      <c r="W92" s="71" t="s">
        <v>126</v>
      </c>
    </row>
    <row r="93" spans="1:24" ht="14.25" customHeight="1" x14ac:dyDescent="0.2">
      <c r="Q93" s="73">
        <v>1</v>
      </c>
      <c r="R93" s="74">
        <v>378808093.16000003</v>
      </c>
      <c r="S93" s="64"/>
      <c r="T93" s="75">
        <v>1</v>
      </c>
      <c r="U93" s="74">
        <f>U17+U18+U20+U21+U24+U25+U28</f>
        <v>433409229.19</v>
      </c>
      <c r="V93" s="64"/>
      <c r="W93" s="76">
        <f t="shared" ref="W93:W95" si="15">U93-R93</f>
        <v>54601136.029999971</v>
      </c>
    </row>
    <row r="94" spans="1:24" ht="14.25" customHeight="1" x14ac:dyDescent="0.2">
      <c r="Q94" s="79">
        <v>3</v>
      </c>
      <c r="R94" s="80">
        <v>112184872.95</v>
      </c>
      <c r="S94" s="81"/>
      <c r="T94" s="82">
        <v>3</v>
      </c>
      <c r="U94" s="80">
        <f>U15+U16+U19+U22+U23+U26+U34+U36+U38+U44+U46+U48+U49+U54+U57+U58+U59+U60+U62+U65+U66+U67+U68+U71+U73+U76+U78+U79+U80</f>
        <v>135484716.71000001</v>
      </c>
      <c r="V94" s="83"/>
      <c r="W94" s="84">
        <f t="shared" si="15"/>
        <v>23299843.760000005</v>
      </c>
    </row>
    <row r="95" spans="1:24" ht="14.25" customHeight="1" x14ac:dyDescent="0.2">
      <c r="Q95" s="85">
        <v>4</v>
      </c>
      <c r="R95" s="86">
        <v>4494841.1399999997</v>
      </c>
      <c r="S95" s="81"/>
      <c r="T95" s="87">
        <v>4</v>
      </c>
      <c r="U95" s="86">
        <f>U33+U35+U37+U39+U40+U41+U42+U43+U45+U47+U50+U51+U52+U53+U55+U56+U61+U63+U69+U72+U74+U77</f>
        <v>5255170.43</v>
      </c>
      <c r="V95" s="88"/>
      <c r="W95" s="89">
        <f t="shared" si="15"/>
        <v>760329.29</v>
      </c>
    </row>
    <row r="96" spans="1:24" ht="14.25" customHeight="1" x14ac:dyDescent="0.2">
      <c r="Q96" s="122" t="s">
        <v>128</v>
      </c>
      <c r="R96" s="113"/>
      <c r="S96" s="61"/>
      <c r="T96" s="112" t="s">
        <v>129</v>
      </c>
      <c r="U96" s="113"/>
      <c r="V96" s="88"/>
      <c r="W96" s="83"/>
    </row>
    <row r="97" spans="17:23" ht="14.25" customHeight="1" x14ac:dyDescent="0.2">
      <c r="Q97" s="72"/>
      <c r="R97" s="72"/>
      <c r="S97" s="72"/>
      <c r="T97" s="12"/>
      <c r="U97" s="83"/>
      <c r="V97" s="88"/>
      <c r="W97" s="5"/>
    </row>
    <row r="98" spans="17:23" ht="14.25" customHeight="1" x14ac:dyDescent="0.2">
      <c r="Q98" s="78"/>
      <c r="R98" s="78"/>
      <c r="S98" s="78"/>
      <c r="T98" s="91" t="s">
        <v>133</v>
      </c>
      <c r="U98" s="92">
        <f>SUM(U93:U95)</f>
        <v>574149116.32999992</v>
      </c>
      <c r="V98" s="5"/>
      <c r="W98" s="66">
        <f>SUM(W93:W97)</f>
        <v>78661309.079999983</v>
      </c>
    </row>
    <row r="99" spans="17:23" ht="14.25" customHeight="1" x14ac:dyDescent="0.2">
      <c r="Q99" s="5"/>
      <c r="R99" s="96"/>
      <c r="S99" s="5"/>
      <c r="T99" s="5"/>
      <c r="U99" s="5"/>
      <c r="V99" s="5"/>
      <c r="W99" s="5"/>
    </row>
    <row r="100" spans="17:23" ht="14.25" customHeight="1" x14ac:dyDescent="0.2">
      <c r="Q100" s="5"/>
      <c r="R100" s="96"/>
      <c r="S100" s="5"/>
      <c r="T100" s="5"/>
      <c r="U100" s="5"/>
      <c r="V100" s="5"/>
      <c r="W100" s="5"/>
    </row>
    <row r="101" spans="17:23" ht="14.25" customHeight="1" x14ac:dyDescent="0.2">
      <c r="Q101" s="5"/>
      <c r="R101" s="96"/>
      <c r="S101" s="5"/>
      <c r="T101" s="99" t="s">
        <v>136</v>
      </c>
      <c r="U101" s="100">
        <f>U15+U16+U19+U22+U23+U26</f>
        <v>78321159.060000002</v>
      </c>
      <c r="V101" s="5"/>
      <c r="W101" s="66"/>
    </row>
    <row r="102" spans="17:23" ht="14.25" customHeight="1" x14ac:dyDescent="0.2">
      <c r="Q102" s="5"/>
      <c r="R102" s="5"/>
      <c r="S102" s="5"/>
      <c r="T102" s="99" t="s">
        <v>137</v>
      </c>
      <c r="U102" s="100" t="e">
        <f>#REF!+U43+U49+U50+#REF!+U57+U59+U60+U61+U64</f>
        <v>#REF!</v>
      </c>
      <c r="V102" s="66"/>
      <c r="W102" s="66"/>
    </row>
    <row r="103" spans="17:23" ht="14.25" customHeight="1" x14ac:dyDescent="0.2">
      <c r="Q103" s="5"/>
      <c r="R103" s="5"/>
      <c r="S103" s="5"/>
      <c r="T103" s="99" t="s">
        <v>133</v>
      </c>
      <c r="U103" s="100" t="e">
        <f>U101+U102</f>
        <v>#REF!</v>
      </c>
      <c r="V103" s="66"/>
      <c r="W103" s="66"/>
    </row>
    <row r="104" spans="17:23" ht="14.25" customHeight="1" x14ac:dyDescent="0.2">
      <c r="Q104" s="5"/>
      <c r="R104" s="5"/>
      <c r="S104" s="5"/>
      <c r="T104" s="5"/>
      <c r="U104" s="5"/>
      <c r="V104" s="5"/>
      <c r="W104" s="5"/>
    </row>
    <row r="105" spans="17:23" ht="14.25" customHeight="1" x14ac:dyDescent="0.2"/>
    <row r="106" spans="17:23" ht="14.25" customHeight="1" x14ac:dyDescent="0.2"/>
    <row r="107" spans="17:23" ht="14.25" customHeight="1" x14ac:dyDescent="0.2"/>
    <row r="108" spans="17:23" ht="14.25" customHeight="1" x14ac:dyDescent="0.2"/>
    <row r="109" spans="17:23" ht="14.25" customHeight="1" x14ac:dyDescent="0.2"/>
    <row r="110" spans="17:23" ht="14.25" customHeight="1" x14ac:dyDescent="0.2"/>
    <row r="111" spans="17:23" ht="14.25" customHeight="1" x14ac:dyDescent="0.2"/>
    <row r="112" spans="17:23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8">
    <mergeCell ref="A1:C1"/>
    <mergeCell ref="A2:C2"/>
    <mergeCell ref="A3:E3"/>
    <mergeCell ref="A4:E4"/>
    <mergeCell ref="A6:E6"/>
    <mergeCell ref="A7:E7"/>
    <mergeCell ref="A10:X10"/>
    <mergeCell ref="K12:K13"/>
    <mergeCell ref="L12:M12"/>
    <mergeCell ref="N12:N13"/>
    <mergeCell ref="O12:O13"/>
    <mergeCell ref="P12:Q12"/>
    <mergeCell ref="R12:R13"/>
    <mergeCell ref="S12:X12"/>
    <mergeCell ref="J13:J14"/>
    <mergeCell ref="T96:U96"/>
    <mergeCell ref="A12:J12"/>
    <mergeCell ref="A13:B13"/>
    <mergeCell ref="C13:C14"/>
    <mergeCell ref="D13:D14"/>
    <mergeCell ref="E13:F13"/>
    <mergeCell ref="G13:G14"/>
    <mergeCell ref="H13:I13"/>
    <mergeCell ref="A30:J30"/>
    <mergeCell ref="A81:J81"/>
    <mergeCell ref="A82:J82"/>
    <mergeCell ref="A85:M85"/>
    <mergeCell ref="Q96:R96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  <pageSetUpPr fitToPage="1"/>
  </sheetPr>
  <dimension ref="A1:AA942"/>
  <sheetViews>
    <sheetView tabSelected="1" topLeftCell="A55" zoomScale="124" zoomScaleNormal="124" workbookViewId="0">
      <selection sqref="A1:F1"/>
    </sheetView>
  </sheetViews>
  <sheetFormatPr defaultColWidth="12.625" defaultRowHeight="15" customHeight="1" x14ac:dyDescent="0.2"/>
  <cols>
    <col min="1" max="1" width="9.125" customWidth="1"/>
    <col min="2" max="2" width="11" customWidth="1"/>
    <col min="3" max="3" width="9.125" customWidth="1"/>
    <col min="4" max="4" width="14" customWidth="1"/>
    <col min="5" max="5" width="9.125" customWidth="1"/>
    <col min="6" max="6" width="11.375" customWidth="1"/>
    <col min="7" max="8" width="14" customWidth="1"/>
    <col min="9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5" width="9.75" customWidth="1"/>
    <col min="16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3.75" customWidth="1"/>
    <col min="26" max="26" width="16.375" customWidth="1"/>
    <col min="27" max="27" width="9.125" customWidth="1"/>
  </cols>
  <sheetData>
    <row r="1" spans="1:27" ht="14.25" customHeight="1" x14ac:dyDescent="0.2">
      <c r="A1" s="123" t="s">
        <v>0</v>
      </c>
      <c r="B1" s="115"/>
      <c r="C1" s="115"/>
      <c r="D1" s="115"/>
      <c r="E1" s="115"/>
      <c r="F1" s="113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 x14ac:dyDescent="0.2">
      <c r="A2" s="127" t="s">
        <v>1</v>
      </c>
      <c r="B2" s="128"/>
      <c r="C2" s="128"/>
      <c r="D2" s="128"/>
      <c r="E2" s="128"/>
      <c r="F2" s="129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 x14ac:dyDescent="0.2">
      <c r="A3" s="127" t="s">
        <v>2</v>
      </c>
      <c r="B3" s="128"/>
      <c r="C3" s="128"/>
      <c r="D3" s="128"/>
      <c r="E3" s="128"/>
      <c r="F3" s="129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 x14ac:dyDescent="0.2">
      <c r="A4" s="123" t="s">
        <v>142</v>
      </c>
      <c r="B4" s="115"/>
      <c r="C4" s="115"/>
      <c r="D4" s="115"/>
      <c r="E4" s="115"/>
      <c r="F4" s="113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 x14ac:dyDescent="0.2">
      <c r="A5" s="8" t="s">
        <v>3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 x14ac:dyDescent="0.2">
      <c r="A6" s="123" t="s">
        <v>174</v>
      </c>
      <c r="B6" s="115"/>
      <c r="C6" s="115"/>
      <c r="D6" s="115"/>
      <c r="E6" s="115"/>
      <c r="F6" s="113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 x14ac:dyDescent="0.2">
      <c r="A7" s="127" t="s">
        <v>175</v>
      </c>
      <c r="B7" s="128"/>
      <c r="C7" s="128"/>
      <c r="D7" s="128"/>
      <c r="E7" s="128"/>
      <c r="F7" s="129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 x14ac:dyDescent="0.2">
      <c r="A8" s="123" t="s">
        <v>176</v>
      </c>
      <c r="B8" s="115"/>
      <c r="C8" s="115"/>
      <c r="D8" s="115"/>
      <c r="E8" s="115"/>
      <c r="F8" s="113"/>
      <c r="G8" s="1"/>
      <c r="H8" s="2"/>
      <c r="I8" s="2"/>
      <c r="J8" s="104"/>
      <c r="K8" s="1"/>
      <c r="L8" s="1"/>
      <c r="M8" s="1"/>
      <c r="N8" s="1"/>
      <c r="O8" s="1"/>
      <c r="P8" s="1"/>
      <c r="Q8" s="1"/>
      <c r="R8" s="1"/>
      <c r="S8" s="1"/>
      <c r="T8" s="1"/>
      <c r="U8" s="105"/>
      <c r="V8" s="5"/>
      <c r="W8" s="5"/>
      <c r="X8" s="5"/>
      <c r="Y8" s="5"/>
      <c r="Z8" s="5"/>
      <c r="AA8" s="5"/>
    </row>
    <row r="9" spans="1:27" ht="14.25" customHeight="1" x14ac:dyDescent="0.2">
      <c r="A9" s="124" t="s">
        <v>4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5"/>
      <c r="Z9" s="5"/>
      <c r="AA9" s="5"/>
    </row>
    <row r="10" spans="1:27" ht="14.25" customHeight="1" x14ac:dyDescent="0.2">
      <c r="A10" s="1"/>
      <c r="B10" s="1"/>
      <c r="C10" s="1"/>
      <c r="D10" s="1"/>
      <c r="E10" s="1"/>
      <c r="F10" s="1"/>
      <c r="G10" s="1"/>
      <c r="H10" s="2"/>
      <c r="I10" s="2"/>
      <c r="J10" s="101"/>
      <c r="K10" s="1"/>
      <c r="L10" s="1"/>
      <c r="M10" s="1"/>
      <c r="N10" s="1"/>
      <c r="O10" s="1"/>
      <c r="P10" s="1"/>
      <c r="Q10" s="1"/>
      <c r="R10" s="1"/>
      <c r="S10" s="1"/>
      <c r="T10" s="1"/>
      <c r="U10" s="102"/>
      <c r="V10" s="1"/>
      <c r="W10" s="12"/>
      <c r="X10" s="1"/>
      <c r="Y10" s="5"/>
      <c r="Z10" s="5"/>
      <c r="AA10" s="5"/>
    </row>
    <row r="11" spans="1:27" ht="14.25" customHeight="1" x14ac:dyDescent="0.2">
      <c r="A11" s="114" t="s">
        <v>5</v>
      </c>
      <c r="B11" s="115"/>
      <c r="C11" s="115"/>
      <c r="D11" s="115"/>
      <c r="E11" s="115"/>
      <c r="F11" s="115"/>
      <c r="G11" s="115"/>
      <c r="H11" s="115"/>
      <c r="I11" s="115"/>
      <c r="J11" s="113"/>
      <c r="K11" s="116" t="s">
        <v>6</v>
      </c>
      <c r="L11" s="114" t="s">
        <v>7</v>
      </c>
      <c r="M11" s="113"/>
      <c r="N11" s="116" t="s">
        <v>8</v>
      </c>
      <c r="O11" s="116" t="s">
        <v>9</v>
      </c>
      <c r="P11" s="114" t="s">
        <v>10</v>
      </c>
      <c r="Q11" s="113"/>
      <c r="R11" s="116" t="s">
        <v>11</v>
      </c>
      <c r="S11" s="114" t="s">
        <v>12</v>
      </c>
      <c r="T11" s="115"/>
      <c r="U11" s="115"/>
      <c r="V11" s="115"/>
      <c r="W11" s="115"/>
      <c r="X11" s="113"/>
      <c r="Y11" s="5"/>
      <c r="Z11" s="5"/>
      <c r="AA11" s="5"/>
    </row>
    <row r="12" spans="1:27" ht="14.25" customHeight="1" x14ac:dyDescent="0.2">
      <c r="A12" s="114" t="s">
        <v>13</v>
      </c>
      <c r="B12" s="113"/>
      <c r="C12" s="116" t="s">
        <v>14</v>
      </c>
      <c r="D12" s="116" t="s">
        <v>15</v>
      </c>
      <c r="E12" s="114" t="s">
        <v>16</v>
      </c>
      <c r="F12" s="113"/>
      <c r="G12" s="116" t="s">
        <v>17</v>
      </c>
      <c r="H12" s="114" t="s">
        <v>18</v>
      </c>
      <c r="I12" s="113"/>
      <c r="J12" s="126" t="s">
        <v>19</v>
      </c>
      <c r="K12" s="117"/>
      <c r="L12" s="13" t="s">
        <v>20</v>
      </c>
      <c r="M12" s="13" t="s">
        <v>21</v>
      </c>
      <c r="N12" s="117"/>
      <c r="O12" s="117"/>
      <c r="P12" s="14" t="s">
        <v>22</v>
      </c>
      <c r="Q12" s="14" t="s">
        <v>23</v>
      </c>
      <c r="R12" s="117"/>
      <c r="S12" s="15" t="s">
        <v>24</v>
      </c>
      <c r="T12" s="16" t="s">
        <v>25</v>
      </c>
      <c r="U12" s="15" t="s">
        <v>26</v>
      </c>
      <c r="V12" s="17" t="s">
        <v>25</v>
      </c>
      <c r="W12" s="18" t="s">
        <v>27</v>
      </c>
      <c r="X12" s="17" t="s">
        <v>25</v>
      </c>
      <c r="Y12" s="5"/>
      <c r="Z12" s="5"/>
      <c r="AA12" s="5"/>
    </row>
    <row r="13" spans="1:27" ht="31.5" customHeight="1" x14ac:dyDescent="0.2">
      <c r="A13" s="15" t="s">
        <v>28</v>
      </c>
      <c r="B13" s="15" t="s">
        <v>16</v>
      </c>
      <c r="C13" s="117"/>
      <c r="D13" s="117"/>
      <c r="E13" s="14" t="s">
        <v>29</v>
      </c>
      <c r="F13" s="14" t="s">
        <v>30</v>
      </c>
      <c r="G13" s="117"/>
      <c r="H13" s="14" t="s">
        <v>28</v>
      </c>
      <c r="I13" s="14" t="s">
        <v>16</v>
      </c>
      <c r="J13" s="117"/>
      <c r="K13" s="15" t="s">
        <v>31</v>
      </c>
      <c r="L13" s="14" t="s">
        <v>32</v>
      </c>
      <c r="M13" s="14" t="s">
        <v>33</v>
      </c>
      <c r="N13" s="14" t="s">
        <v>34</v>
      </c>
      <c r="O13" s="14" t="s">
        <v>35</v>
      </c>
      <c r="P13" s="14" t="s">
        <v>36</v>
      </c>
      <c r="Q13" s="14" t="s">
        <v>37</v>
      </c>
      <c r="R13" s="15" t="s">
        <v>38</v>
      </c>
      <c r="S13" s="19" t="s">
        <v>39</v>
      </c>
      <c r="T13" s="20" t="s">
        <v>40</v>
      </c>
      <c r="U13" s="19" t="s">
        <v>41</v>
      </c>
      <c r="V13" s="20" t="s">
        <v>42</v>
      </c>
      <c r="W13" s="18" t="s">
        <v>43</v>
      </c>
      <c r="X13" s="20" t="s">
        <v>44</v>
      </c>
      <c r="Y13" s="5"/>
      <c r="Z13" s="5"/>
      <c r="AA13" s="5"/>
    </row>
    <row r="14" spans="1:27" ht="63" customHeight="1" x14ac:dyDescent="0.2">
      <c r="A14" s="21" t="s">
        <v>45</v>
      </c>
      <c r="B14" s="32" t="s">
        <v>46</v>
      </c>
      <c r="C14" s="32" t="s">
        <v>47</v>
      </c>
      <c r="D14" s="32" t="s">
        <v>48</v>
      </c>
      <c r="E14" s="32" t="s">
        <v>87</v>
      </c>
      <c r="F14" s="32" t="s">
        <v>177</v>
      </c>
      <c r="G14" s="32" t="s">
        <v>51</v>
      </c>
      <c r="H14" s="32" t="s">
        <v>143</v>
      </c>
      <c r="I14" s="32" t="s">
        <v>151</v>
      </c>
      <c r="J14" s="107">
        <v>3</v>
      </c>
      <c r="K14" s="34">
        <v>100000</v>
      </c>
      <c r="L14" s="24">
        <v>0</v>
      </c>
      <c r="M14" s="24">
        <v>0</v>
      </c>
      <c r="N14" s="25">
        <f t="shared" ref="N14:N26" si="0">K14+L14-M14</f>
        <v>100000</v>
      </c>
      <c r="O14" s="26"/>
      <c r="P14" s="26"/>
      <c r="Q14" s="26"/>
      <c r="R14" s="25">
        <f t="shared" ref="R14:R26" si="1">N14-O14+P14+Q14</f>
        <v>100000</v>
      </c>
      <c r="S14" s="24">
        <v>0</v>
      </c>
      <c r="T14" s="27">
        <f t="shared" ref="T14:T27" si="2">IF(R14&gt;0,S14/R14,0)</f>
        <v>0</v>
      </c>
      <c r="U14" s="54">
        <v>0</v>
      </c>
      <c r="V14" s="27">
        <f t="shared" ref="V14:V27" si="3">IF(R14&gt;0,U14/R14,0)</f>
        <v>0</v>
      </c>
      <c r="W14" s="24">
        <v>0</v>
      </c>
      <c r="X14" s="27">
        <f t="shared" ref="X14:X27" si="4">IF(R14&gt;0,W14/R14,0)</f>
        <v>0</v>
      </c>
      <c r="Y14" s="5"/>
      <c r="Z14" s="5"/>
      <c r="AA14" s="5"/>
    </row>
    <row r="15" spans="1:27" ht="63" customHeight="1" x14ac:dyDescent="0.2">
      <c r="A15" s="21" t="s">
        <v>45</v>
      </c>
      <c r="B15" s="32" t="s">
        <v>46</v>
      </c>
      <c r="C15" s="32" t="s">
        <v>47</v>
      </c>
      <c r="D15" s="32" t="s">
        <v>54</v>
      </c>
      <c r="E15" s="32" t="s">
        <v>87</v>
      </c>
      <c r="F15" s="32" t="s">
        <v>55</v>
      </c>
      <c r="G15" s="32" t="s">
        <v>51</v>
      </c>
      <c r="H15" s="32" t="s">
        <v>143</v>
      </c>
      <c r="I15" s="32" t="s">
        <v>151</v>
      </c>
      <c r="J15" s="107">
        <v>3</v>
      </c>
      <c r="K15" s="34">
        <v>77675500</v>
      </c>
      <c r="L15" s="24">
        <v>0</v>
      </c>
      <c r="M15" s="24">
        <v>0</v>
      </c>
      <c r="N15" s="25">
        <f t="shared" si="0"/>
        <v>77675500</v>
      </c>
      <c r="O15" s="108"/>
      <c r="P15" s="26"/>
      <c r="Q15" s="26"/>
      <c r="R15" s="25">
        <f t="shared" si="1"/>
        <v>77675500</v>
      </c>
      <c r="S15" s="24">
        <v>6867634.5099999998</v>
      </c>
      <c r="T15" s="27">
        <f t="shared" si="2"/>
        <v>8.8414422951896027E-2</v>
      </c>
      <c r="U15" s="54">
        <v>6867634.5099999998</v>
      </c>
      <c r="V15" s="27">
        <f t="shared" si="3"/>
        <v>8.8414422951896027E-2</v>
      </c>
      <c r="W15" s="24">
        <v>6867634.5099999998</v>
      </c>
      <c r="X15" s="27">
        <f t="shared" si="4"/>
        <v>8.8414422951896027E-2</v>
      </c>
      <c r="Y15" s="29"/>
      <c r="Z15" s="5"/>
      <c r="AA15" s="5"/>
    </row>
    <row r="16" spans="1:27" ht="63" customHeight="1" x14ac:dyDescent="0.2">
      <c r="A16" s="21" t="s">
        <v>45</v>
      </c>
      <c r="B16" s="32" t="s">
        <v>46</v>
      </c>
      <c r="C16" s="32" t="s">
        <v>47</v>
      </c>
      <c r="D16" s="32" t="s">
        <v>56</v>
      </c>
      <c r="E16" s="32" t="s">
        <v>87</v>
      </c>
      <c r="F16" s="32" t="s">
        <v>57</v>
      </c>
      <c r="G16" s="32" t="s">
        <v>51</v>
      </c>
      <c r="H16" s="32" t="s">
        <v>143</v>
      </c>
      <c r="I16" s="32" t="s">
        <v>151</v>
      </c>
      <c r="J16" s="30">
        <v>1</v>
      </c>
      <c r="K16" s="34">
        <v>470000000</v>
      </c>
      <c r="L16" s="24">
        <v>1281127.3999999999</v>
      </c>
      <c r="M16" s="24">
        <v>1281127.3999999999</v>
      </c>
      <c r="N16" s="25">
        <f t="shared" si="0"/>
        <v>470000000</v>
      </c>
      <c r="O16" s="26"/>
      <c r="P16" s="26"/>
      <c r="Q16" s="26"/>
      <c r="R16" s="25">
        <f t="shared" si="1"/>
        <v>470000000</v>
      </c>
      <c r="S16" s="24">
        <v>40060378.799999997</v>
      </c>
      <c r="T16" s="27">
        <f t="shared" si="2"/>
        <v>8.5234848510638297E-2</v>
      </c>
      <c r="U16" s="31">
        <v>40060378.799999997</v>
      </c>
      <c r="V16" s="27">
        <f t="shared" si="3"/>
        <v>8.5234848510638297E-2</v>
      </c>
      <c r="W16" s="24">
        <v>39392414.039999999</v>
      </c>
      <c r="X16" s="27">
        <f t="shared" si="4"/>
        <v>8.3813646893617019E-2</v>
      </c>
      <c r="Y16" s="5"/>
      <c r="Z16" s="5"/>
      <c r="AA16" s="5"/>
    </row>
    <row r="17" spans="1:27" ht="63" customHeight="1" x14ac:dyDescent="0.2">
      <c r="A17" s="21" t="s">
        <v>45</v>
      </c>
      <c r="B17" s="32" t="s">
        <v>46</v>
      </c>
      <c r="C17" s="32" t="s">
        <v>47</v>
      </c>
      <c r="D17" s="32" t="s">
        <v>61</v>
      </c>
      <c r="E17" s="32" t="s">
        <v>62</v>
      </c>
      <c r="F17" s="32" t="s">
        <v>63</v>
      </c>
      <c r="G17" s="32" t="s">
        <v>51</v>
      </c>
      <c r="H17" s="32" t="s">
        <v>143</v>
      </c>
      <c r="I17" s="32" t="s">
        <v>151</v>
      </c>
      <c r="J17" s="107">
        <v>3</v>
      </c>
      <c r="K17" s="34">
        <v>22575500</v>
      </c>
      <c r="L17" s="24">
        <v>0</v>
      </c>
      <c r="M17" s="24">
        <v>0</v>
      </c>
      <c r="N17" s="25">
        <f t="shared" si="0"/>
        <v>22575500</v>
      </c>
      <c r="O17" s="26"/>
      <c r="P17" s="26"/>
      <c r="Q17" s="26"/>
      <c r="R17" s="25">
        <f t="shared" si="1"/>
        <v>22575500</v>
      </c>
      <c r="S17" s="24">
        <v>1996118.1</v>
      </c>
      <c r="T17" s="27">
        <f t="shared" si="2"/>
        <v>8.8419662908905683E-2</v>
      </c>
      <c r="U17" s="54">
        <v>1996118.1</v>
      </c>
      <c r="V17" s="27">
        <f t="shared" si="3"/>
        <v>8.8419662908905683E-2</v>
      </c>
      <c r="W17" s="24">
        <v>1996118.1</v>
      </c>
      <c r="X17" s="27">
        <f t="shared" si="4"/>
        <v>8.8419662908905683E-2</v>
      </c>
      <c r="Y17" s="5"/>
      <c r="Z17" s="5"/>
      <c r="AA17" s="5"/>
    </row>
    <row r="18" spans="1:27" ht="63" customHeight="1" x14ac:dyDescent="0.2">
      <c r="A18" s="21" t="s">
        <v>45</v>
      </c>
      <c r="B18" s="32" t="s">
        <v>46</v>
      </c>
      <c r="C18" s="32" t="s">
        <v>47</v>
      </c>
      <c r="D18" s="32" t="s">
        <v>110</v>
      </c>
      <c r="E18" s="32" t="s">
        <v>62</v>
      </c>
      <c r="F18" s="32" t="s">
        <v>178</v>
      </c>
      <c r="G18" s="32" t="s">
        <v>51</v>
      </c>
      <c r="H18" s="32" t="s">
        <v>143</v>
      </c>
      <c r="I18" s="32" t="s">
        <v>151</v>
      </c>
      <c r="J18" s="107">
        <v>3</v>
      </c>
      <c r="K18" s="34">
        <v>50000</v>
      </c>
      <c r="L18" s="24">
        <v>0</v>
      </c>
      <c r="M18" s="24">
        <v>0</v>
      </c>
      <c r="N18" s="25">
        <f t="shared" si="0"/>
        <v>50000</v>
      </c>
      <c r="O18" s="26"/>
      <c r="P18" s="26"/>
      <c r="Q18" s="26"/>
      <c r="R18" s="25">
        <f t="shared" si="1"/>
        <v>50000</v>
      </c>
      <c r="S18" s="24">
        <v>0</v>
      </c>
      <c r="T18" s="27">
        <f t="shared" si="2"/>
        <v>0</v>
      </c>
      <c r="U18" s="54">
        <v>0</v>
      </c>
      <c r="V18" s="27">
        <f t="shared" si="3"/>
        <v>0</v>
      </c>
      <c r="W18" s="24">
        <v>0</v>
      </c>
      <c r="X18" s="27">
        <f t="shared" si="4"/>
        <v>0</v>
      </c>
      <c r="Y18" s="5"/>
      <c r="Z18" s="5"/>
      <c r="AA18" s="5"/>
    </row>
    <row r="19" spans="1:27" ht="63" customHeight="1" x14ac:dyDescent="0.2">
      <c r="A19" s="21" t="s">
        <v>45</v>
      </c>
      <c r="B19" s="32" t="s">
        <v>46</v>
      </c>
      <c r="C19" s="32" t="s">
        <v>47</v>
      </c>
      <c r="D19" s="32" t="s">
        <v>64</v>
      </c>
      <c r="E19" s="32" t="s">
        <v>62</v>
      </c>
      <c r="F19" s="32" t="s">
        <v>152</v>
      </c>
      <c r="G19" s="32" t="s">
        <v>51</v>
      </c>
      <c r="H19" s="32" t="s">
        <v>143</v>
      </c>
      <c r="I19" s="32" t="s">
        <v>151</v>
      </c>
      <c r="J19" s="30">
        <v>1</v>
      </c>
      <c r="K19" s="34">
        <v>123000000</v>
      </c>
      <c r="L19" s="24">
        <v>730076.61</v>
      </c>
      <c r="M19" s="24">
        <v>730076.61</v>
      </c>
      <c r="N19" s="25">
        <f t="shared" si="0"/>
        <v>123000000</v>
      </c>
      <c r="O19" s="26"/>
      <c r="P19" s="26"/>
      <c r="Q19" s="26"/>
      <c r="R19" s="25">
        <f t="shared" si="1"/>
        <v>123000000</v>
      </c>
      <c r="S19" s="24">
        <v>10851071.640000001</v>
      </c>
      <c r="T19" s="27">
        <f t="shared" si="2"/>
        <v>8.8220094634146345E-2</v>
      </c>
      <c r="U19" s="31">
        <v>10851071.640000001</v>
      </c>
      <c r="V19" s="27">
        <f t="shared" si="3"/>
        <v>8.8220094634146345E-2</v>
      </c>
      <c r="W19" s="24">
        <v>10324810.83</v>
      </c>
      <c r="X19" s="27">
        <f t="shared" si="4"/>
        <v>8.3941551463414629E-2</v>
      </c>
      <c r="Y19" s="5"/>
      <c r="Z19" s="5"/>
      <c r="AA19" s="5"/>
    </row>
    <row r="20" spans="1:27" ht="63" customHeight="1" x14ac:dyDescent="0.2">
      <c r="A20" s="21" t="s">
        <v>45</v>
      </c>
      <c r="B20" s="32" t="s">
        <v>46</v>
      </c>
      <c r="C20" s="32" t="s">
        <v>47</v>
      </c>
      <c r="D20" s="32" t="s">
        <v>66</v>
      </c>
      <c r="E20" s="32" t="s">
        <v>62</v>
      </c>
      <c r="F20" s="32" t="s">
        <v>67</v>
      </c>
      <c r="G20" s="32" t="s">
        <v>51</v>
      </c>
      <c r="H20" s="32" t="s">
        <v>143</v>
      </c>
      <c r="I20" s="32" t="s">
        <v>151</v>
      </c>
      <c r="J20" s="30">
        <v>1</v>
      </c>
      <c r="K20" s="34">
        <v>151000000</v>
      </c>
      <c r="L20" s="24">
        <v>170447.04</v>
      </c>
      <c r="M20" s="24">
        <v>170447.04</v>
      </c>
      <c r="N20" s="25">
        <f t="shared" si="0"/>
        <v>151000000</v>
      </c>
      <c r="O20" s="26"/>
      <c r="P20" s="26"/>
      <c r="Q20" s="26"/>
      <c r="R20" s="25">
        <f t="shared" si="1"/>
        <v>151000000</v>
      </c>
      <c r="S20" s="24">
        <v>13324204.1</v>
      </c>
      <c r="T20" s="27">
        <f t="shared" si="2"/>
        <v>8.8239762251655626E-2</v>
      </c>
      <c r="U20" s="31">
        <v>13324204.1</v>
      </c>
      <c r="V20" s="27">
        <f t="shared" si="3"/>
        <v>8.8239762251655626E-2</v>
      </c>
      <c r="W20" s="24">
        <v>12903704.550000001</v>
      </c>
      <c r="X20" s="27">
        <f t="shared" si="4"/>
        <v>8.5454997019867557E-2</v>
      </c>
      <c r="Y20" s="5"/>
      <c r="Z20" s="5"/>
      <c r="AA20" s="5"/>
    </row>
    <row r="21" spans="1:27" ht="63" customHeight="1" x14ac:dyDescent="0.2">
      <c r="A21" s="21" t="s">
        <v>45</v>
      </c>
      <c r="B21" s="32" t="s">
        <v>46</v>
      </c>
      <c r="C21" s="32" t="s">
        <v>47</v>
      </c>
      <c r="D21" s="32" t="s">
        <v>68</v>
      </c>
      <c r="E21" s="32" t="s">
        <v>62</v>
      </c>
      <c r="F21" s="32" t="s">
        <v>69</v>
      </c>
      <c r="G21" s="32" t="s">
        <v>51</v>
      </c>
      <c r="H21" s="32" t="s">
        <v>143</v>
      </c>
      <c r="I21" s="32" t="s">
        <v>151</v>
      </c>
      <c r="J21" s="107">
        <v>3</v>
      </c>
      <c r="K21" s="34">
        <v>25475500</v>
      </c>
      <c r="L21" s="24">
        <v>0</v>
      </c>
      <c r="M21" s="24">
        <v>0</v>
      </c>
      <c r="N21" s="25">
        <f t="shared" si="0"/>
        <v>25475500</v>
      </c>
      <c r="O21" s="26"/>
      <c r="P21" s="26"/>
      <c r="Q21" s="26"/>
      <c r="R21" s="25">
        <f t="shared" si="1"/>
        <v>25475500</v>
      </c>
      <c r="S21" s="24">
        <v>2197393.2599999998</v>
      </c>
      <c r="T21" s="27">
        <f t="shared" si="2"/>
        <v>8.6255157308001804E-2</v>
      </c>
      <c r="U21" s="54">
        <v>2197393.2599999998</v>
      </c>
      <c r="V21" s="27">
        <f t="shared" si="3"/>
        <v>8.6255157308001804E-2</v>
      </c>
      <c r="W21" s="24">
        <v>2197393.2599999998</v>
      </c>
      <c r="X21" s="27">
        <f t="shared" si="4"/>
        <v>8.6255157308001804E-2</v>
      </c>
      <c r="Y21" s="5"/>
      <c r="Z21" s="5"/>
      <c r="AA21" s="5"/>
    </row>
    <row r="22" spans="1:27" ht="63" customHeight="1" x14ac:dyDescent="0.2">
      <c r="A22" s="21" t="s">
        <v>45</v>
      </c>
      <c r="B22" s="32" t="s">
        <v>46</v>
      </c>
      <c r="C22" s="32" t="s">
        <v>73</v>
      </c>
      <c r="D22" s="32" t="s">
        <v>74</v>
      </c>
      <c r="E22" s="32" t="s">
        <v>62</v>
      </c>
      <c r="F22" s="32" t="s">
        <v>75</v>
      </c>
      <c r="G22" s="32" t="s">
        <v>51</v>
      </c>
      <c r="H22" s="32" t="s">
        <v>143</v>
      </c>
      <c r="I22" s="32" t="s">
        <v>151</v>
      </c>
      <c r="J22" s="30">
        <v>1</v>
      </c>
      <c r="K22" s="33">
        <v>300000</v>
      </c>
      <c r="L22" s="24">
        <v>0</v>
      </c>
      <c r="M22" s="24">
        <v>0</v>
      </c>
      <c r="N22" s="25">
        <f t="shared" si="0"/>
        <v>300000</v>
      </c>
      <c r="O22" s="25"/>
      <c r="P22" s="25"/>
      <c r="Q22" s="25"/>
      <c r="R22" s="25">
        <f t="shared" si="1"/>
        <v>300000</v>
      </c>
      <c r="S22" s="34">
        <v>46885</v>
      </c>
      <c r="T22" s="27">
        <f t="shared" si="2"/>
        <v>0.15628333333333333</v>
      </c>
      <c r="U22" s="31">
        <v>46885</v>
      </c>
      <c r="V22" s="27">
        <f t="shared" si="3"/>
        <v>0.15628333333333333</v>
      </c>
      <c r="W22" s="24">
        <v>46885</v>
      </c>
      <c r="X22" s="27">
        <f t="shared" si="4"/>
        <v>0.15628333333333333</v>
      </c>
      <c r="Y22" s="5"/>
      <c r="Z22" s="5"/>
      <c r="AA22" s="5"/>
    </row>
    <row r="23" spans="1:27" ht="63" customHeight="1" x14ac:dyDescent="0.2">
      <c r="A23" s="21" t="s">
        <v>45</v>
      </c>
      <c r="B23" s="32" t="s">
        <v>46</v>
      </c>
      <c r="C23" s="32" t="s">
        <v>73</v>
      </c>
      <c r="D23" s="32" t="s">
        <v>58</v>
      </c>
      <c r="E23" s="32" t="s">
        <v>62</v>
      </c>
      <c r="F23" s="32" t="s">
        <v>179</v>
      </c>
      <c r="G23" s="32" t="s">
        <v>51</v>
      </c>
      <c r="H23" s="32" t="s">
        <v>143</v>
      </c>
      <c r="I23" s="32" t="s">
        <v>151</v>
      </c>
      <c r="J23" s="30">
        <v>1</v>
      </c>
      <c r="K23" s="33">
        <v>300000</v>
      </c>
      <c r="L23" s="24">
        <v>0</v>
      </c>
      <c r="M23" s="24">
        <v>0</v>
      </c>
      <c r="N23" s="25">
        <f t="shared" si="0"/>
        <v>300000</v>
      </c>
      <c r="O23" s="25"/>
      <c r="P23" s="25"/>
      <c r="Q23" s="25"/>
      <c r="R23" s="25">
        <f t="shared" si="1"/>
        <v>300000</v>
      </c>
      <c r="S23" s="34">
        <v>46585</v>
      </c>
      <c r="T23" s="27">
        <f t="shared" si="2"/>
        <v>0.15528333333333333</v>
      </c>
      <c r="U23" s="31">
        <v>46585</v>
      </c>
      <c r="V23" s="27">
        <f t="shared" si="3"/>
        <v>0.15528333333333333</v>
      </c>
      <c r="W23" s="24">
        <v>46585</v>
      </c>
      <c r="X23" s="27">
        <f t="shared" si="4"/>
        <v>0.15528333333333333</v>
      </c>
      <c r="Y23" s="5"/>
      <c r="Z23" s="5"/>
      <c r="AA23" s="5"/>
    </row>
    <row r="24" spans="1:27" ht="63" customHeight="1" x14ac:dyDescent="0.2">
      <c r="A24" s="21" t="s">
        <v>45</v>
      </c>
      <c r="B24" s="32" t="s">
        <v>46</v>
      </c>
      <c r="C24" s="32" t="s">
        <v>76</v>
      </c>
      <c r="D24" s="32" t="s">
        <v>77</v>
      </c>
      <c r="E24" s="32" t="s">
        <v>153</v>
      </c>
      <c r="F24" s="32" t="s">
        <v>78</v>
      </c>
      <c r="G24" s="32" t="s">
        <v>154</v>
      </c>
      <c r="H24" s="32" t="s">
        <v>143</v>
      </c>
      <c r="I24" s="32" t="s">
        <v>151</v>
      </c>
      <c r="J24" s="30">
        <v>1</v>
      </c>
      <c r="K24" s="34">
        <f>153539737-K25</f>
        <v>147464237</v>
      </c>
      <c r="L24" s="24">
        <v>3847203.53</v>
      </c>
      <c r="M24" s="24">
        <v>3847203.53</v>
      </c>
      <c r="N24" s="25">
        <f t="shared" si="0"/>
        <v>147464237</v>
      </c>
      <c r="O24" s="25"/>
      <c r="P24" s="25"/>
      <c r="Q24" s="25"/>
      <c r="R24" s="25">
        <f t="shared" si="1"/>
        <v>147464237</v>
      </c>
      <c r="S24" s="24">
        <f>6793057.24-S25</f>
        <v>6321538.8399999999</v>
      </c>
      <c r="T24" s="27">
        <f t="shared" si="2"/>
        <v>4.2868284328491116E-2</v>
      </c>
      <c r="U24" s="31">
        <f>6793057.24-U25</f>
        <v>6321538.8399999999</v>
      </c>
      <c r="V24" s="27">
        <f t="shared" si="3"/>
        <v>4.2868284328491116E-2</v>
      </c>
      <c r="W24" s="24">
        <f>6793057.24-W25</f>
        <v>6321538.8399999999</v>
      </c>
      <c r="X24" s="27">
        <f t="shared" si="4"/>
        <v>4.2868284328491116E-2</v>
      </c>
      <c r="Y24" s="5"/>
      <c r="Z24" s="5"/>
      <c r="AA24" s="5"/>
    </row>
    <row r="25" spans="1:27" ht="63" customHeight="1" x14ac:dyDescent="0.2">
      <c r="A25" s="21" t="s">
        <v>45</v>
      </c>
      <c r="B25" s="32" t="s">
        <v>46</v>
      </c>
      <c r="C25" s="32" t="s">
        <v>76</v>
      </c>
      <c r="D25" s="32" t="s">
        <v>77</v>
      </c>
      <c r="E25" s="32" t="s">
        <v>153</v>
      </c>
      <c r="F25" s="32" t="s">
        <v>78</v>
      </c>
      <c r="G25" s="32" t="s">
        <v>154</v>
      </c>
      <c r="H25" s="32" t="s">
        <v>143</v>
      </c>
      <c r="I25" s="32" t="s">
        <v>151</v>
      </c>
      <c r="J25" s="107">
        <v>3</v>
      </c>
      <c r="K25" s="34">
        <v>6075500</v>
      </c>
      <c r="L25" s="24">
        <v>0</v>
      </c>
      <c r="M25" s="24">
        <v>0</v>
      </c>
      <c r="N25" s="25">
        <f t="shared" si="0"/>
        <v>6075500</v>
      </c>
      <c r="O25" s="25"/>
      <c r="P25" s="25"/>
      <c r="Q25" s="25"/>
      <c r="R25" s="25">
        <f t="shared" si="1"/>
        <v>6075500</v>
      </c>
      <c r="S25" s="24">
        <v>471518.4</v>
      </c>
      <c r="T25" s="27">
        <f t="shared" si="2"/>
        <v>7.7609809892189949E-2</v>
      </c>
      <c r="U25" s="54">
        <v>471518.4</v>
      </c>
      <c r="V25" s="27">
        <f t="shared" si="3"/>
        <v>7.7609809892189949E-2</v>
      </c>
      <c r="W25" s="24">
        <v>471518.4</v>
      </c>
      <c r="X25" s="27">
        <f t="shared" si="4"/>
        <v>7.7609809892189949E-2</v>
      </c>
      <c r="Y25" s="5"/>
      <c r="Z25" s="5"/>
      <c r="AA25" s="5"/>
    </row>
    <row r="26" spans="1:27" ht="63" customHeight="1" x14ac:dyDescent="0.2">
      <c r="A26" s="21" t="s">
        <v>45</v>
      </c>
      <c r="B26" s="22" t="s">
        <v>46</v>
      </c>
      <c r="C26" s="22" t="s">
        <v>80</v>
      </c>
      <c r="D26" s="22" t="s">
        <v>81</v>
      </c>
      <c r="E26" s="22" t="s">
        <v>155</v>
      </c>
      <c r="F26" s="22" t="s">
        <v>82</v>
      </c>
      <c r="G26" s="22" t="s">
        <v>51</v>
      </c>
      <c r="H26" s="22" t="s">
        <v>143</v>
      </c>
      <c r="I26" s="32" t="s">
        <v>151</v>
      </c>
      <c r="J26" s="30">
        <v>1</v>
      </c>
      <c r="K26" s="24">
        <v>152763</v>
      </c>
      <c r="L26" s="24">
        <v>0</v>
      </c>
      <c r="M26" s="24">
        <v>0</v>
      </c>
      <c r="N26" s="25">
        <f t="shared" si="0"/>
        <v>152763</v>
      </c>
      <c r="O26" s="25"/>
      <c r="P26" s="25"/>
      <c r="Q26" s="25"/>
      <c r="R26" s="25">
        <f t="shared" si="1"/>
        <v>152763</v>
      </c>
      <c r="S26" s="24">
        <v>0</v>
      </c>
      <c r="T26" s="27">
        <f t="shared" si="2"/>
        <v>0</v>
      </c>
      <c r="U26" s="31">
        <v>0</v>
      </c>
      <c r="V26" s="27">
        <f t="shared" si="3"/>
        <v>0</v>
      </c>
      <c r="W26" s="24">
        <v>0</v>
      </c>
      <c r="X26" s="27">
        <f t="shared" si="4"/>
        <v>0</v>
      </c>
      <c r="Y26" s="5"/>
      <c r="Z26" s="5"/>
      <c r="AA26" s="5"/>
    </row>
    <row r="27" spans="1:27" ht="16.5" customHeight="1" x14ac:dyDescent="0.2">
      <c r="A27" s="118" t="s">
        <v>83</v>
      </c>
      <c r="B27" s="115"/>
      <c r="C27" s="115"/>
      <c r="D27" s="115"/>
      <c r="E27" s="115"/>
      <c r="F27" s="115"/>
      <c r="G27" s="115"/>
      <c r="H27" s="115"/>
      <c r="I27" s="115"/>
      <c r="J27" s="113"/>
      <c r="K27" s="38">
        <f t="shared" ref="K27:S27" si="5">SUM(K14:K26)</f>
        <v>1024169000</v>
      </c>
      <c r="L27" s="38">
        <f t="shared" si="5"/>
        <v>6028854.5800000001</v>
      </c>
      <c r="M27" s="38">
        <f t="shared" si="5"/>
        <v>6028854.5800000001</v>
      </c>
      <c r="N27" s="38">
        <f t="shared" si="5"/>
        <v>1024169000</v>
      </c>
      <c r="O27" s="38">
        <f t="shared" si="5"/>
        <v>0</v>
      </c>
      <c r="P27" s="38">
        <f t="shared" si="5"/>
        <v>0</v>
      </c>
      <c r="Q27" s="38">
        <f t="shared" si="5"/>
        <v>0</v>
      </c>
      <c r="R27" s="38">
        <f t="shared" si="5"/>
        <v>1024169000</v>
      </c>
      <c r="S27" s="38">
        <f t="shared" si="5"/>
        <v>82183327.650000006</v>
      </c>
      <c r="T27" s="39">
        <f t="shared" si="2"/>
        <v>8.0243912528108155E-2</v>
      </c>
      <c r="U27" s="38">
        <f>SUM(U14:U26)</f>
        <v>82183327.650000006</v>
      </c>
      <c r="V27" s="39">
        <f t="shared" si="3"/>
        <v>8.0243912528108155E-2</v>
      </c>
      <c r="W27" s="38">
        <f>SUM(W14:W26)</f>
        <v>80568602.530000016</v>
      </c>
      <c r="X27" s="39">
        <f t="shared" si="4"/>
        <v>7.8667292731961241E-2</v>
      </c>
      <c r="Y27" s="5"/>
      <c r="Z27" s="5"/>
      <c r="AA27" s="5"/>
    </row>
    <row r="28" spans="1:27" ht="15" customHeight="1" x14ac:dyDescent="0.2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38"/>
      <c r="V28" s="39"/>
      <c r="W28" s="38"/>
      <c r="X28" s="39"/>
      <c r="Y28" s="5"/>
      <c r="Z28" s="5"/>
      <c r="AA28" s="5"/>
    </row>
    <row r="29" spans="1:27" ht="15" customHeight="1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2"/>
      <c r="L29" s="42"/>
      <c r="M29" s="42"/>
      <c r="N29" s="42"/>
      <c r="O29" s="42"/>
      <c r="P29" s="42"/>
      <c r="Q29" s="42"/>
      <c r="R29" s="42"/>
      <c r="S29" s="42"/>
      <c r="T29" s="37"/>
      <c r="U29" s="42"/>
      <c r="V29" s="37"/>
      <c r="W29" s="42"/>
      <c r="X29" s="37"/>
      <c r="Y29" s="5"/>
      <c r="Z29" s="5"/>
      <c r="AA29" s="5"/>
    </row>
    <row r="30" spans="1:27" ht="54" customHeight="1" x14ac:dyDescent="0.2">
      <c r="A30" s="21" t="s">
        <v>84</v>
      </c>
      <c r="B30" s="32" t="s">
        <v>85</v>
      </c>
      <c r="C30" s="32" t="s">
        <v>47</v>
      </c>
      <c r="D30" s="32" t="s">
        <v>95</v>
      </c>
      <c r="E30" s="32" t="s">
        <v>87</v>
      </c>
      <c r="F30" s="32" t="s">
        <v>180</v>
      </c>
      <c r="G30" s="32" t="s">
        <v>51</v>
      </c>
      <c r="H30" s="32" t="s">
        <v>145</v>
      </c>
      <c r="I30" s="32" t="s">
        <v>156</v>
      </c>
      <c r="J30" s="43">
        <v>4</v>
      </c>
      <c r="K30" s="33">
        <v>43418381</v>
      </c>
      <c r="L30" s="24">
        <v>0</v>
      </c>
      <c r="M30" s="24">
        <v>39460392.579999998</v>
      </c>
      <c r="N30" s="25">
        <f t="shared" ref="N30:N53" si="6">K30+L30-M30</f>
        <v>3957988.4200000018</v>
      </c>
      <c r="O30" s="26"/>
      <c r="P30" s="26"/>
      <c r="Q30" s="26"/>
      <c r="R30" s="25">
        <f t="shared" ref="R30:R53" si="7">N30-O30+P30+Q30</f>
        <v>3957988.4200000018</v>
      </c>
      <c r="S30" s="36">
        <v>0</v>
      </c>
      <c r="T30" s="27">
        <f t="shared" ref="T30:T55" si="8">IF(R30&gt;0,S30/R30,0)</f>
        <v>0</v>
      </c>
      <c r="U30" s="45">
        <v>0</v>
      </c>
      <c r="V30" s="27">
        <f t="shared" ref="V30:V55" si="9">IF(R30&gt;0,U30/R30,0)</f>
        <v>0</v>
      </c>
      <c r="W30" s="24">
        <v>0</v>
      </c>
      <c r="X30" s="27">
        <f t="shared" ref="X30:X55" si="10">IF(R30&gt;0,W30/R30,0)</f>
        <v>0</v>
      </c>
      <c r="Y30" s="5"/>
      <c r="Z30" s="5"/>
      <c r="AA30" s="5"/>
    </row>
    <row r="31" spans="1:27" ht="54" customHeight="1" x14ac:dyDescent="0.2">
      <c r="A31" s="21" t="s">
        <v>84</v>
      </c>
      <c r="B31" s="32" t="s">
        <v>85</v>
      </c>
      <c r="C31" s="32" t="s">
        <v>47</v>
      </c>
      <c r="D31" s="32" t="s">
        <v>173</v>
      </c>
      <c r="E31" s="32" t="s">
        <v>87</v>
      </c>
      <c r="F31" s="32" t="s">
        <v>180</v>
      </c>
      <c r="G31" s="32" t="s">
        <v>51</v>
      </c>
      <c r="H31" s="32" t="s">
        <v>145</v>
      </c>
      <c r="I31" s="32" t="s">
        <v>156</v>
      </c>
      <c r="J31" s="43">
        <v>4</v>
      </c>
      <c r="K31" s="33">
        <v>0</v>
      </c>
      <c r="L31" s="24">
        <v>3430512.54</v>
      </c>
      <c r="M31" s="24">
        <v>0</v>
      </c>
      <c r="N31" s="25">
        <f t="shared" si="6"/>
        <v>3430512.54</v>
      </c>
      <c r="O31" s="26"/>
      <c r="P31" s="26"/>
      <c r="Q31" s="26"/>
      <c r="R31" s="25">
        <f t="shared" si="7"/>
        <v>3430512.54</v>
      </c>
      <c r="S31" s="36">
        <v>3430512.54</v>
      </c>
      <c r="T31" s="27">
        <f t="shared" si="8"/>
        <v>1</v>
      </c>
      <c r="U31" s="45">
        <v>0</v>
      </c>
      <c r="V31" s="27">
        <f t="shared" si="9"/>
        <v>0</v>
      </c>
      <c r="W31" s="24">
        <v>0</v>
      </c>
      <c r="X31" s="27">
        <f t="shared" si="10"/>
        <v>0</v>
      </c>
      <c r="Y31" s="5"/>
      <c r="Z31" s="5"/>
      <c r="AA31" s="5"/>
    </row>
    <row r="32" spans="1:27" ht="54" customHeight="1" x14ac:dyDescent="0.2">
      <c r="A32" s="21" t="s">
        <v>84</v>
      </c>
      <c r="B32" s="32" t="s">
        <v>85</v>
      </c>
      <c r="C32" s="32" t="s">
        <v>47</v>
      </c>
      <c r="D32" s="32" t="s">
        <v>147</v>
      </c>
      <c r="E32" s="32" t="s">
        <v>87</v>
      </c>
      <c r="F32" s="32" t="s">
        <v>180</v>
      </c>
      <c r="G32" s="32" t="s">
        <v>51</v>
      </c>
      <c r="H32" s="32" t="s">
        <v>145</v>
      </c>
      <c r="I32" s="32" t="s">
        <v>156</v>
      </c>
      <c r="J32" s="43">
        <v>4</v>
      </c>
      <c r="K32" s="33">
        <v>0</v>
      </c>
      <c r="L32" s="24">
        <v>36029880.039999999</v>
      </c>
      <c r="M32" s="24">
        <v>0</v>
      </c>
      <c r="N32" s="25">
        <f t="shared" si="6"/>
        <v>36029880.039999999</v>
      </c>
      <c r="O32" s="26"/>
      <c r="P32" s="26"/>
      <c r="Q32" s="26"/>
      <c r="R32" s="25">
        <f t="shared" si="7"/>
        <v>36029880.039999999</v>
      </c>
      <c r="S32" s="36">
        <v>36029880.039999999</v>
      </c>
      <c r="T32" s="27">
        <f t="shared" si="8"/>
        <v>1</v>
      </c>
      <c r="U32" s="45">
        <v>0</v>
      </c>
      <c r="V32" s="27">
        <f t="shared" si="9"/>
        <v>0</v>
      </c>
      <c r="W32" s="24">
        <v>0</v>
      </c>
      <c r="X32" s="27">
        <f t="shared" si="10"/>
        <v>0</v>
      </c>
      <c r="Y32" s="5"/>
      <c r="Z32" s="5"/>
      <c r="AA32" s="5"/>
    </row>
    <row r="33" spans="1:27" ht="54" customHeight="1" x14ac:dyDescent="0.2">
      <c r="A33" s="21" t="s">
        <v>84</v>
      </c>
      <c r="B33" s="32" t="s">
        <v>85</v>
      </c>
      <c r="C33" s="32" t="s">
        <v>47</v>
      </c>
      <c r="D33" s="32" t="s">
        <v>97</v>
      </c>
      <c r="E33" s="32" t="s">
        <v>87</v>
      </c>
      <c r="F33" s="32" t="s">
        <v>181</v>
      </c>
      <c r="G33" s="32" t="s">
        <v>51</v>
      </c>
      <c r="H33" s="32" t="s">
        <v>145</v>
      </c>
      <c r="I33" s="32" t="s">
        <v>156</v>
      </c>
      <c r="J33" s="43">
        <v>4</v>
      </c>
      <c r="K33" s="33">
        <v>100000</v>
      </c>
      <c r="L33" s="24">
        <v>0</v>
      </c>
      <c r="M33" s="24">
        <v>0</v>
      </c>
      <c r="N33" s="25">
        <f t="shared" si="6"/>
        <v>100000</v>
      </c>
      <c r="O33" s="26"/>
      <c r="P33" s="26"/>
      <c r="Q33" s="26"/>
      <c r="R33" s="25">
        <f t="shared" si="7"/>
        <v>100000</v>
      </c>
      <c r="S33" s="36">
        <v>0</v>
      </c>
      <c r="T33" s="27">
        <f t="shared" si="8"/>
        <v>0</v>
      </c>
      <c r="U33" s="45">
        <v>0</v>
      </c>
      <c r="V33" s="27">
        <f t="shared" si="9"/>
        <v>0</v>
      </c>
      <c r="W33" s="24">
        <v>0</v>
      </c>
      <c r="X33" s="27">
        <f t="shared" si="10"/>
        <v>0</v>
      </c>
      <c r="Y33" s="5"/>
      <c r="Z33" s="5"/>
      <c r="AA33" s="5"/>
    </row>
    <row r="34" spans="1:27" ht="54" customHeight="1" x14ac:dyDescent="0.2">
      <c r="A34" s="21" t="s">
        <v>84</v>
      </c>
      <c r="B34" s="32" t="s">
        <v>85</v>
      </c>
      <c r="C34" s="32" t="s">
        <v>47</v>
      </c>
      <c r="D34" s="32" t="s">
        <v>48</v>
      </c>
      <c r="E34" s="32" t="s">
        <v>87</v>
      </c>
      <c r="F34" s="32" t="s">
        <v>182</v>
      </c>
      <c r="G34" s="32" t="s">
        <v>51</v>
      </c>
      <c r="H34" s="32" t="s">
        <v>145</v>
      </c>
      <c r="I34" s="32" t="s">
        <v>156</v>
      </c>
      <c r="J34" s="107">
        <v>3</v>
      </c>
      <c r="K34" s="33">
        <f>61151090-K35</f>
        <v>60651090</v>
      </c>
      <c r="L34" s="24">
        <v>0</v>
      </c>
      <c r="M34" s="24">
        <v>0</v>
      </c>
      <c r="N34" s="25">
        <f t="shared" si="6"/>
        <v>60651090</v>
      </c>
      <c r="O34" s="25"/>
      <c r="P34" s="25"/>
      <c r="Q34" s="25"/>
      <c r="R34" s="25">
        <f t="shared" si="7"/>
        <v>60651090</v>
      </c>
      <c r="S34" s="33">
        <f>24324395.56-S35</f>
        <v>24189872.329999998</v>
      </c>
      <c r="T34" s="27">
        <f t="shared" si="8"/>
        <v>0.39883656386060001</v>
      </c>
      <c r="U34" s="54">
        <f>1007655.76</f>
        <v>1007655.76</v>
      </c>
      <c r="V34" s="27">
        <f t="shared" si="9"/>
        <v>1.6613976104963655E-2</v>
      </c>
      <c r="W34" s="24">
        <v>1007655.76</v>
      </c>
      <c r="X34" s="27">
        <f t="shared" si="10"/>
        <v>1.6613976104963655E-2</v>
      </c>
      <c r="Y34" s="5"/>
      <c r="Z34" s="5"/>
      <c r="AA34" s="5"/>
    </row>
    <row r="35" spans="1:27" ht="54" customHeight="1" x14ac:dyDescent="0.2">
      <c r="A35" s="21" t="s">
        <v>84</v>
      </c>
      <c r="B35" s="32" t="s">
        <v>85</v>
      </c>
      <c r="C35" s="32" t="s">
        <v>47</v>
      </c>
      <c r="D35" s="32" t="s">
        <v>48</v>
      </c>
      <c r="E35" s="32" t="s">
        <v>87</v>
      </c>
      <c r="F35" s="32" t="s">
        <v>99</v>
      </c>
      <c r="G35" s="32" t="s">
        <v>51</v>
      </c>
      <c r="H35" s="32" t="s">
        <v>145</v>
      </c>
      <c r="I35" s="32" t="s">
        <v>156</v>
      </c>
      <c r="J35" s="43">
        <v>4</v>
      </c>
      <c r="K35" s="33">
        <v>500000</v>
      </c>
      <c r="L35" s="24">
        <v>0</v>
      </c>
      <c r="M35" s="24">
        <v>0</v>
      </c>
      <c r="N35" s="25">
        <f t="shared" si="6"/>
        <v>500000</v>
      </c>
      <c r="O35" s="25"/>
      <c r="P35" s="25"/>
      <c r="Q35" s="25"/>
      <c r="R35" s="25">
        <f t="shared" si="7"/>
        <v>500000</v>
      </c>
      <c r="S35" s="24">
        <v>134523.23000000001</v>
      </c>
      <c r="T35" s="27">
        <f t="shared" si="8"/>
        <v>0.26904646000000004</v>
      </c>
      <c r="U35" s="45">
        <v>0</v>
      </c>
      <c r="V35" s="27">
        <f t="shared" si="9"/>
        <v>0</v>
      </c>
      <c r="W35" s="24">
        <v>0</v>
      </c>
      <c r="X35" s="27">
        <f t="shared" si="10"/>
        <v>0</v>
      </c>
      <c r="Y35" s="5"/>
      <c r="Z35" s="5"/>
      <c r="AA35" s="5"/>
    </row>
    <row r="36" spans="1:27" ht="54" customHeight="1" x14ac:dyDescent="0.2">
      <c r="A36" s="21" t="s">
        <v>84</v>
      </c>
      <c r="B36" s="32" t="s">
        <v>85</v>
      </c>
      <c r="C36" s="32" t="s">
        <v>47</v>
      </c>
      <c r="D36" s="32" t="s">
        <v>54</v>
      </c>
      <c r="E36" s="32" t="s">
        <v>87</v>
      </c>
      <c r="F36" s="32" t="s">
        <v>100</v>
      </c>
      <c r="G36" s="32" t="s">
        <v>51</v>
      </c>
      <c r="H36" s="32" t="s">
        <v>145</v>
      </c>
      <c r="I36" s="32" t="s">
        <v>156</v>
      </c>
      <c r="J36" s="107">
        <v>3</v>
      </c>
      <c r="K36" s="33">
        <v>100000</v>
      </c>
      <c r="L36" s="34">
        <v>0</v>
      </c>
      <c r="M36" s="34">
        <v>0</v>
      </c>
      <c r="N36" s="35">
        <f t="shared" si="6"/>
        <v>100000</v>
      </c>
      <c r="O36" s="35"/>
      <c r="P36" s="35"/>
      <c r="Q36" s="35"/>
      <c r="R36" s="35">
        <f t="shared" si="7"/>
        <v>100000</v>
      </c>
      <c r="S36" s="34">
        <v>0</v>
      </c>
      <c r="T36" s="37">
        <f t="shared" si="8"/>
        <v>0</v>
      </c>
      <c r="U36" s="54">
        <v>0</v>
      </c>
      <c r="V36" s="37">
        <f t="shared" si="9"/>
        <v>0</v>
      </c>
      <c r="W36" s="34">
        <v>0</v>
      </c>
      <c r="X36" s="37">
        <f t="shared" si="10"/>
        <v>0</v>
      </c>
      <c r="Y36" s="5"/>
      <c r="Z36" s="5"/>
      <c r="AA36" s="5"/>
    </row>
    <row r="37" spans="1:27" ht="63" x14ac:dyDescent="0.2">
      <c r="A37" s="21" t="s">
        <v>84</v>
      </c>
      <c r="B37" s="32" t="s">
        <v>85</v>
      </c>
      <c r="C37" s="32" t="s">
        <v>47</v>
      </c>
      <c r="D37" s="32" t="s">
        <v>102</v>
      </c>
      <c r="E37" s="32" t="s">
        <v>62</v>
      </c>
      <c r="F37" s="32" t="s">
        <v>183</v>
      </c>
      <c r="G37" s="32" t="s">
        <v>51</v>
      </c>
      <c r="H37" s="32" t="s">
        <v>145</v>
      </c>
      <c r="I37" s="32" t="s">
        <v>156</v>
      </c>
      <c r="J37" s="43">
        <v>4</v>
      </c>
      <c r="K37" s="33">
        <v>17334789</v>
      </c>
      <c r="L37" s="34"/>
      <c r="M37" s="34">
        <v>17334789</v>
      </c>
      <c r="N37" s="35">
        <f t="shared" si="6"/>
        <v>0</v>
      </c>
      <c r="O37" s="35"/>
      <c r="P37" s="35"/>
      <c r="Q37" s="35"/>
      <c r="R37" s="35">
        <f t="shared" si="7"/>
        <v>0</v>
      </c>
      <c r="S37" s="36"/>
      <c r="T37" s="37">
        <f t="shared" si="8"/>
        <v>0</v>
      </c>
      <c r="U37" s="45"/>
      <c r="V37" s="37">
        <f t="shared" si="9"/>
        <v>0</v>
      </c>
      <c r="W37" s="34"/>
      <c r="X37" s="37">
        <f t="shared" si="10"/>
        <v>0</v>
      </c>
      <c r="Y37" s="5"/>
      <c r="Z37" s="5"/>
      <c r="AA37" s="5"/>
    </row>
    <row r="38" spans="1:27" ht="63" x14ac:dyDescent="0.2">
      <c r="A38" s="21" t="s">
        <v>84</v>
      </c>
      <c r="B38" s="32" t="s">
        <v>85</v>
      </c>
      <c r="C38" s="32" t="s">
        <v>47</v>
      </c>
      <c r="D38" s="32" t="s">
        <v>150</v>
      </c>
      <c r="E38" s="32" t="s">
        <v>62</v>
      </c>
      <c r="F38" s="32" t="s">
        <v>183</v>
      </c>
      <c r="G38" s="32" t="s">
        <v>51</v>
      </c>
      <c r="H38" s="32" t="s">
        <v>145</v>
      </c>
      <c r="I38" s="32" t="s">
        <v>156</v>
      </c>
      <c r="J38" s="43">
        <v>4</v>
      </c>
      <c r="K38" s="33">
        <v>0</v>
      </c>
      <c r="L38" s="34">
        <v>17334789</v>
      </c>
      <c r="M38" s="34">
        <v>0</v>
      </c>
      <c r="N38" s="35">
        <f t="shared" si="6"/>
        <v>17334789</v>
      </c>
      <c r="O38" s="35"/>
      <c r="P38" s="35"/>
      <c r="Q38" s="35"/>
      <c r="R38" s="35">
        <f t="shared" si="7"/>
        <v>17334789</v>
      </c>
      <c r="S38" s="36">
        <v>17334789</v>
      </c>
      <c r="T38" s="37">
        <f t="shared" si="8"/>
        <v>1</v>
      </c>
      <c r="U38" s="45">
        <v>0</v>
      </c>
      <c r="V38" s="37">
        <f t="shared" si="9"/>
        <v>0</v>
      </c>
      <c r="W38" s="34">
        <v>0</v>
      </c>
      <c r="X38" s="37">
        <f t="shared" si="10"/>
        <v>0</v>
      </c>
      <c r="Y38" s="5"/>
      <c r="Z38" s="5"/>
      <c r="AA38" s="5"/>
    </row>
    <row r="39" spans="1:27" ht="63" x14ac:dyDescent="0.2">
      <c r="A39" s="21" t="s">
        <v>84</v>
      </c>
      <c r="B39" s="32" t="s">
        <v>85</v>
      </c>
      <c r="C39" s="32" t="s">
        <v>47</v>
      </c>
      <c r="D39" s="32" t="s">
        <v>104</v>
      </c>
      <c r="E39" s="32" t="s">
        <v>62</v>
      </c>
      <c r="F39" s="32" t="s">
        <v>184</v>
      </c>
      <c r="G39" s="32" t="s">
        <v>51</v>
      </c>
      <c r="H39" s="32" t="s">
        <v>145</v>
      </c>
      <c r="I39" s="32" t="s">
        <v>156</v>
      </c>
      <c r="J39" s="43">
        <v>4</v>
      </c>
      <c r="K39" s="33">
        <v>50000</v>
      </c>
      <c r="L39" s="34">
        <v>0</v>
      </c>
      <c r="M39" s="34">
        <v>0</v>
      </c>
      <c r="N39" s="35">
        <f t="shared" si="6"/>
        <v>50000</v>
      </c>
      <c r="O39" s="35"/>
      <c r="P39" s="35"/>
      <c r="Q39" s="35"/>
      <c r="R39" s="35">
        <f t="shared" si="7"/>
        <v>50000</v>
      </c>
      <c r="S39" s="36">
        <v>0</v>
      </c>
      <c r="T39" s="37">
        <f t="shared" si="8"/>
        <v>0</v>
      </c>
      <c r="U39" s="45">
        <v>0</v>
      </c>
      <c r="V39" s="37">
        <f t="shared" si="9"/>
        <v>0</v>
      </c>
      <c r="W39" s="34">
        <v>0</v>
      </c>
      <c r="X39" s="37">
        <f t="shared" si="10"/>
        <v>0</v>
      </c>
      <c r="Y39" s="5"/>
      <c r="Z39" s="5"/>
      <c r="AA39" s="5"/>
    </row>
    <row r="40" spans="1:27" ht="63" x14ac:dyDescent="0.2">
      <c r="A40" s="21" t="s">
        <v>84</v>
      </c>
      <c r="B40" s="32" t="s">
        <v>85</v>
      </c>
      <c r="C40" s="32" t="s">
        <v>47</v>
      </c>
      <c r="D40" s="32" t="s">
        <v>185</v>
      </c>
      <c r="E40" s="32" t="s">
        <v>62</v>
      </c>
      <c r="F40" s="32" t="s">
        <v>186</v>
      </c>
      <c r="G40" s="32" t="s">
        <v>51</v>
      </c>
      <c r="H40" s="32" t="s">
        <v>145</v>
      </c>
      <c r="I40" s="32" t="s">
        <v>156</v>
      </c>
      <c r="J40" s="111">
        <v>3</v>
      </c>
      <c r="K40" s="33">
        <v>750000</v>
      </c>
      <c r="L40" s="34">
        <v>0</v>
      </c>
      <c r="M40" s="34">
        <v>0</v>
      </c>
      <c r="N40" s="35">
        <f t="shared" si="6"/>
        <v>750000</v>
      </c>
      <c r="O40" s="35"/>
      <c r="P40" s="35"/>
      <c r="Q40" s="35"/>
      <c r="R40" s="35">
        <f t="shared" si="7"/>
        <v>750000</v>
      </c>
      <c r="S40" s="36">
        <v>0</v>
      </c>
      <c r="T40" s="37">
        <f t="shared" si="8"/>
        <v>0</v>
      </c>
      <c r="U40" s="54">
        <v>0</v>
      </c>
      <c r="V40" s="37">
        <f t="shared" si="9"/>
        <v>0</v>
      </c>
      <c r="W40" s="34">
        <v>0</v>
      </c>
      <c r="X40" s="37">
        <f t="shared" si="10"/>
        <v>0</v>
      </c>
      <c r="Y40" s="5"/>
      <c r="Z40" s="5"/>
      <c r="AA40" s="5"/>
    </row>
    <row r="41" spans="1:27" ht="63" x14ac:dyDescent="0.2">
      <c r="A41" s="21" t="s">
        <v>84</v>
      </c>
      <c r="B41" s="32" t="s">
        <v>85</v>
      </c>
      <c r="C41" s="32" t="s">
        <v>47</v>
      </c>
      <c r="D41" s="32" t="s">
        <v>61</v>
      </c>
      <c r="E41" s="32" t="s">
        <v>62</v>
      </c>
      <c r="F41" s="32" t="s">
        <v>63</v>
      </c>
      <c r="G41" s="32" t="s">
        <v>51</v>
      </c>
      <c r="H41" s="32" t="s">
        <v>145</v>
      </c>
      <c r="I41" s="32" t="s">
        <v>156</v>
      </c>
      <c r="J41" s="107">
        <v>3</v>
      </c>
      <c r="K41" s="33">
        <v>50000</v>
      </c>
      <c r="L41" s="24">
        <v>0</v>
      </c>
      <c r="M41" s="24">
        <v>0</v>
      </c>
      <c r="N41" s="25">
        <f t="shared" si="6"/>
        <v>50000</v>
      </c>
      <c r="O41" s="25"/>
      <c r="P41" s="25"/>
      <c r="Q41" s="25"/>
      <c r="R41" s="25">
        <f t="shared" si="7"/>
        <v>50000</v>
      </c>
      <c r="S41" s="36">
        <v>0</v>
      </c>
      <c r="T41" s="27">
        <f t="shared" si="8"/>
        <v>0</v>
      </c>
      <c r="U41" s="54">
        <v>0</v>
      </c>
      <c r="V41" s="27">
        <f t="shared" si="9"/>
        <v>0</v>
      </c>
      <c r="W41" s="24">
        <v>0</v>
      </c>
      <c r="X41" s="27">
        <f t="shared" si="10"/>
        <v>0</v>
      </c>
      <c r="Y41" s="5"/>
      <c r="Z41" s="5"/>
      <c r="AA41" s="5"/>
    </row>
    <row r="42" spans="1:27" ht="63" x14ac:dyDescent="0.2">
      <c r="A42" s="21" t="s">
        <v>84</v>
      </c>
      <c r="B42" s="32" t="s">
        <v>85</v>
      </c>
      <c r="C42" s="32" t="s">
        <v>47</v>
      </c>
      <c r="D42" s="32" t="s">
        <v>110</v>
      </c>
      <c r="E42" s="32" t="s">
        <v>62</v>
      </c>
      <c r="F42" s="32" t="s">
        <v>178</v>
      </c>
      <c r="G42" s="32" t="s">
        <v>51</v>
      </c>
      <c r="H42" s="32" t="s">
        <v>145</v>
      </c>
      <c r="I42" s="32" t="s">
        <v>156</v>
      </c>
      <c r="J42" s="107">
        <v>3</v>
      </c>
      <c r="K42" s="33">
        <f>37007920-K43</f>
        <v>36751090</v>
      </c>
      <c r="L42" s="24">
        <v>0</v>
      </c>
      <c r="M42" s="24">
        <v>0</v>
      </c>
      <c r="N42" s="25">
        <f t="shared" si="6"/>
        <v>36751090</v>
      </c>
      <c r="O42" s="25"/>
      <c r="P42" s="25"/>
      <c r="Q42" s="25"/>
      <c r="R42" s="25">
        <f t="shared" si="7"/>
        <v>36751090</v>
      </c>
      <c r="S42" s="24">
        <v>17870090</v>
      </c>
      <c r="T42" s="27">
        <f t="shared" si="8"/>
        <v>0.48624653037501747</v>
      </c>
      <c r="U42" s="54">
        <v>272639.75</v>
      </c>
      <c r="V42" s="27">
        <f t="shared" si="9"/>
        <v>7.4185486743386384E-3</v>
      </c>
      <c r="W42" s="24">
        <v>272639.75</v>
      </c>
      <c r="X42" s="27">
        <f t="shared" si="10"/>
        <v>7.4185486743386384E-3</v>
      </c>
      <c r="Y42" s="5"/>
      <c r="Z42" s="5"/>
      <c r="AA42" s="5"/>
    </row>
    <row r="43" spans="1:27" ht="63" x14ac:dyDescent="0.2">
      <c r="A43" s="21" t="s">
        <v>84</v>
      </c>
      <c r="B43" s="32" t="s">
        <v>85</v>
      </c>
      <c r="C43" s="32" t="s">
        <v>47</v>
      </c>
      <c r="D43" s="32" t="s">
        <v>110</v>
      </c>
      <c r="E43" s="32" t="s">
        <v>62</v>
      </c>
      <c r="F43" s="32" t="s">
        <v>178</v>
      </c>
      <c r="G43" s="32" t="s">
        <v>51</v>
      </c>
      <c r="H43" s="32" t="s">
        <v>145</v>
      </c>
      <c r="I43" s="32" t="s">
        <v>156</v>
      </c>
      <c r="J43" s="43">
        <v>4</v>
      </c>
      <c r="K43" s="33">
        <v>256830</v>
      </c>
      <c r="L43" s="24">
        <v>0</v>
      </c>
      <c r="M43" s="24">
        <v>0</v>
      </c>
      <c r="N43" s="25">
        <f t="shared" si="6"/>
        <v>256830</v>
      </c>
      <c r="O43" s="25"/>
      <c r="P43" s="25"/>
      <c r="Q43" s="25"/>
      <c r="R43" s="25">
        <f t="shared" si="7"/>
        <v>256830</v>
      </c>
      <c r="S43" s="24">
        <v>0</v>
      </c>
      <c r="T43" s="27">
        <f t="shared" si="8"/>
        <v>0</v>
      </c>
      <c r="U43" s="45">
        <v>0</v>
      </c>
      <c r="V43" s="27">
        <f t="shared" si="9"/>
        <v>0</v>
      </c>
      <c r="W43" s="24">
        <v>0</v>
      </c>
      <c r="X43" s="27">
        <f t="shared" si="10"/>
        <v>0</v>
      </c>
      <c r="Y43" s="5"/>
      <c r="Z43" s="5"/>
      <c r="AA43" s="5"/>
    </row>
    <row r="44" spans="1:27" ht="63" customHeight="1" x14ac:dyDescent="0.2">
      <c r="A44" s="21" t="s">
        <v>84</v>
      </c>
      <c r="B44" s="22" t="s">
        <v>85</v>
      </c>
      <c r="C44" s="22" t="s">
        <v>47</v>
      </c>
      <c r="D44" s="22" t="s">
        <v>113</v>
      </c>
      <c r="E44" s="32" t="s">
        <v>62</v>
      </c>
      <c r="F44" s="22" t="s">
        <v>187</v>
      </c>
      <c r="G44" s="22" t="s">
        <v>51</v>
      </c>
      <c r="H44" s="22" t="s">
        <v>145</v>
      </c>
      <c r="I44" s="32" t="s">
        <v>156</v>
      </c>
      <c r="J44" s="107">
        <v>3</v>
      </c>
      <c r="K44" s="33">
        <v>960000</v>
      </c>
      <c r="L44" s="24">
        <v>0</v>
      </c>
      <c r="M44" s="24">
        <v>0</v>
      </c>
      <c r="N44" s="25">
        <f t="shared" si="6"/>
        <v>960000</v>
      </c>
      <c r="O44" s="25"/>
      <c r="P44" s="25"/>
      <c r="Q44" s="25"/>
      <c r="R44" s="25">
        <f t="shared" si="7"/>
        <v>960000</v>
      </c>
      <c r="S44" s="34">
        <v>30827.71</v>
      </c>
      <c r="T44" s="27">
        <f t="shared" si="8"/>
        <v>3.2112197916666668E-2</v>
      </c>
      <c r="U44" s="54">
        <v>30827.71</v>
      </c>
      <c r="V44" s="27">
        <f t="shared" si="9"/>
        <v>3.2112197916666668E-2</v>
      </c>
      <c r="W44" s="24">
        <v>30827.71</v>
      </c>
      <c r="X44" s="27">
        <f t="shared" si="10"/>
        <v>3.2112197916666668E-2</v>
      </c>
      <c r="Y44" s="5"/>
      <c r="Z44" s="5"/>
      <c r="AA44" s="5"/>
    </row>
    <row r="45" spans="1:27" ht="63" customHeight="1" x14ac:dyDescent="0.2">
      <c r="A45" s="21" t="s">
        <v>84</v>
      </c>
      <c r="B45" s="22" t="s">
        <v>85</v>
      </c>
      <c r="C45" s="22" t="s">
        <v>47</v>
      </c>
      <c r="D45" s="22" t="s">
        <v>68</v>
      </c>
      <c r="E45" s="32" t="s">
        <v>62</v>
      </c>
      <c r="F45" s="22" t="s">
        <v>69</v>
      </c>
      <c r="G45" s="22" t="s">
        <v>51</v>
      </c>
      <c r="H45" s="22" t="s">
        <v>145</v>
      </c>
      <c r="I45" s="32" t="s">
        <v>156</v>
      </c>
      <c r="J45" s="107">
        <v>3</v>
      </c>
      <c r="K45" s="33">
        <v>50000</v>
      </c>
      <c r="L45" s="24">
        <v>0</v>
      </c>
      <c r="M45" s="24">
        <v>0</v>
      </c>
      <c r="N45" s="25">
        <f t="shared" si="6"/>
        <v>50000</v>
      </c>
      <c r="O45" s="25"/>
      <c r="P45" s="25"/>
      <c r="Q45" s="25"/>
      <c r="R45" s="25">
        <f t="shared" si="7"/>
        <v>50000</v>
      </c>
      <c r="S45" s="34">
        <v>0</v>
      </c>
      <c r="T45" s="27">
        <f t="shared" si="8"/>
        <v>0</v>
      </c>
      <c r="U45" s="54">
        <v>0</v>
      </c>
      <c r="V45" s="27">
        <f t="shared" si="9"/>
        <v>0</v>
      </c>
      <c r="W45" s="24">
        <v>0</v>
      </c>
      <c r="X45" s="27">
        <f t="shared" si="10"/>
        <v>0</v>
      </c>
      <c r="Y45" s="5"/>
      <c r="Z45" s="5"/>
      <c r="AA45" s="5"/>
    </row>
    <row r="46" spans="1:27" ht="63" customHeight="1" x14ac:dyDescent="0.2">
      <c r="A46" s="21" t="s">
        <v>84</v>
      </c>
      <c r="B46" s="32" t="s">
        <v>85</v>
      </c>
      <c r="C46" s="32" t="s">
        <v>115</v>
      </c>
      <c r="D46" s="32" t="s">
        <v>116</v>
      </c>
      <c r="E46" s="32" t="s">
        <v>87</v>
      </c>
      <c r="F46" s="32" t="s">
        <v>188</v>
      </c>
      <c r="G46" s="32" t="s">
        <v>51</v>
      </c>
      <c r="H46" s="32" t="s">
        <v>145</v>
      </c>
      <c r="I46" s="32" t="s">
        <v>156</v>
      </c>
      <c r="J46" s="107">
        <v>3</v>
      </c>
      <c r="K46" s="33">
        <f>16951090-K47</f>
        <v>15951090</v>
      </c>
      <c r="L46" s="34">
        <v>0</v>
      </c>
      <c r="M46" s="34">
        <v>0</v>
      </c>
      <c r="N46" s="35">
        <f t="shared" si="6"/>
        <v>15951090</v>
      </c>
      <c r="O46" s="35"/>
      <c r="P46" s="35"/>
      <c r="Q46" s="35"/>
      <c r="R46" s="35">
        <f t="shared" si="7"/>
        <v>15951090</v>
      </c>
      <c r="S46" s="34">
        <v>10510117.25</v>
      </c>
      <c r="T46" s="37">
        <f t="shared" si="8"/>
        <v>0.6588964923400219</v>
      </c>
      <c r="U46" s="54">
        <v>3665.3</v>
      </c>
      <c r="V46" s="37">
        <f t="shared" si="9"/>
        <v>2.2978366995609706E-4</v>
      </c>
      <c r="W46" s="34">
        <v>3665.3</v>
      </c>
      <c r="X46" s="37">
        <f t="shared" si="10"/>
        <v>2.2978366995609706E-4</v>
      </c>
      <c r="Y46" s="5"/>
      <c r="Z46" s="5"/>
      <c r="AA46" s="5"/>
    </row>
    <row r="47" spans="1:27" ht="63" customHeight="1" x14ac:dyDescent="0.2">
      <c r="A47" s="21" t="s">
        <v>84</v>
      </c>
      <c r="B47" s="22" t="s">
        <v>85</v>
      </c>
      <c r="C47" s="22" t="s">
        <v>115</v>
      </c>
      <c r="D47" s="22" t="s">
        <v>116</v>
      </c>
      <c r="E47" s="32" t="s">
        <v>87</v>
      </c>
      <c r="F47" s="32" t="s">
        <v>188</v>
      </c>
      <c r="G47" s="22" t="s">
        <v>51</v>
      </c>
      <c r="H47" s="22" t="s">
        <v>145</v>
      </c>
      <c r="I47" s="32" t="s">
        <v>156</v>
      </c>
      <c r="J47" s="43">
        <v>4</v>
      </c>
      <c r="K47" s="33">
        <v>1000000</v>
      </c>
      <c r="L47" s="24">
        <v>0</v>
      </c>
      <c r="M47" s="24">
        <v>0</v>
      </c>
      <c r="N47" s="25">
        <f t="shared" si="6"/>
        <v>1000000</v>
      </c>
      <c r="O47" s="25"/>
      <c r="P47" s="25"/>
      <c r="Q47" s="25"/>
      <c r="R47" s="25">
        <f t="shared" si="7"/>
        <v>1000000</v>
      </c>
      <c r="S47" s="34">
        <v>0</v>
      </c>
      <c r="T47" s="27">
        <f t="shared" si="8"/>
        <v>0</v>
      </c>
      <c r="U47" s="45">
        <v>0</v>
      </c>
      <c r="V47" s="27">
        <f t="shared" si="9"/>
        <v>0</v>
      </c>
      <c r="W47" s="24">
        <v>0</v>
      </c>
      <c r="X47" s="27">
        <f t="shared" si="10"/>
        <v>0</v>
      </c>
      <c r="Y47" s="5"/>
      <c r="Z47" s="5"/>
      <c r="AA47" s="5"/>
    </row>
    <row r="48" spans="1:27" ht="63" customHeight="1" x14ac:dyDescent="0.2">
      <c r="A48" s="21" t="s">
        <v>84</v>
      </c>
      <c r="B48" s="22" t="s">
        <v>85</v>
      </c>
      <c r="C48" s="22" t="s">
        <v>115</v>
      </c>
      <c r="D48" s="22" t="s">
        <v>118</v>
      </c>
      <c r="E48" s="32" t="s">
        <v>62</v>
      </c>
      <c r="F48" s="22" t="s">
        <v>189</v>
      </c>
      <c r="G48" s="22" t="s">
        <v>51</v>
      </c>
      <c r="H48" s="22" t="s">
        <v>145</v>
      </c>
      <c r="I48" s="32" t="s">
        <v>156</v>
      </c>
      <c r="J48" s="107">
        <v>3</v>
      </c>
      <c r="K48" s="33">
        <f>9751090-K49</f>
        <v>9651090</v>
      </c>
      <c r="L48" s="24">
        <v>0</v>
      </c>
      <c r="M48" s="24">
        <v>0</v>
      </c>
      <c r="N48" s="25">
        <f t="shared" si="6"/>
        <v>9651090</v>
      </c>
      <c r="O48" s="25"/>
      <c r="P48" s="25"/>
      <c r="Q48" s="25"/>
      <c r="R48" s="25">
        <f t="shared" si="7"/>
        <v>9651090</v>
      </c>
      <c r="S48" s="34">
        <f>8494405.91-S49</f>
        <v>8394405.9100000001</v>
      </c>
      <c r="T48" s="27">
        <f t="shared" si="8"/>
        <v>0.86978837727137559</v>
      </c>
      <c r="U48" s="54">
        <v>0</v>
      </c>
      <c r="V48" s="27">
        <f t="shared" si="9"/>
        <v>0</v>
      </c>
      <c r="W48" s="24">
        <v>0</v>
      </c>
      <c r="X48" s="27">
        <f t="shared" si="10"/>
        <v>0</v>
      </c>
      <c r="Y48" s="5"/>
      <c r="Z48" s="5"/>
      <c r="AA48" s="5"/>
    </row>
    <row r="49" spans="1:27" ht="63" customHeight="1" x14ac:dyDescent="0.2">
      <c r="A49" s="21" t="s">
        <v>84</v>
      </c>
      <c r="B49" s="22" t="s">
        <v>85</v>
      </c>
      <c r="C49" s="22" t="s">
        <v>115</v>
      </c>
      <c r="D49" s="22" t="s">
        <v>118</v>
      </c>
      <c r="E49" s="32" t="s">
        <v>62</v>
      </c>
      <c r="F49" s="22" t="s">
        <v>189</v>
      </c>
      <c r="G49" s="22" t="s">
        <v>51</v>
      </c>
      <c r="H49" s="22" t="s">
        <v>145</v>
      </c>
      <c r="I49" s="32" t="s">
        <v>156</v>
      </c>
      <c r="J49" s="43">
        <v>4</v>
      </c>
      <c r="K49" s="33">
        <v>100000</v>
      </c>
      <c r="L49" s="24">
        <v>100000</v>
      </c>
      <c r="M49" s="24">
        <v>100000</v>
      </c>
      <c r="N49" s="25">
        <f t="shared" si="6"/>
        <v>100000</v>
      </c>
      <c r="O49" s="25"/>
      <c r="P49" s="25"/>
      <c r="Q49" s="25"/>
      <c r="R49" s="25">
        <f t="shared" si="7"/>
        <v>100000</v>
      </c>
      <c r="S49" s="34">
        <f>50000+50000</f>
        <v>100000</v>
      </c>
      <c r="T49" s="27">
        <f t="shared" si="8"/>
        <v>1</v>
      </c>
      <c r="U49" s="45">
        <v>0</v>
      </c>
      <c r="V49" s="27">
        <f t="shared" si="9"/>
        <v>0</v>
      </c>
      <c r="W49" s="24">
        <v>0</v>
      </c>
      <c r="X49" s="27">
        <f t="shared" si="10"/>
        <v>0</v>
      </c>
      <c r="Y49" s="5"/>
      <c r="Z49" s="5"/>
      <c r="AA49" s="5"/>
    </row>
    <row r="50" spans="1:27" ht="63" customHeight="1" x14ac:dyDescent="0.2">
      <c r="A50" s="21" t="s">
        <v>84</v>
      </c>
      <c r="B50" s="22" t="s">
        <v>85</v>
      </c>
      <c r="C50" s="22" t="s">
        <v>73</v>
      </c>
      <c r="D50" s="22" t="s">
        <v>74</v>
      </c>
      <c r="E50" s="32" t="s">
        <v>62</v>
      </c>
      <c r="F50" s="22" t="s">
        <v>120</v>
      </c>
      <c r="G50" s="22" t="s">
        <v>51</v>
      </c>
      <c r="H50" s="22" t="s">
        <v>145</v>
      </c>
      <c r="I50" s="32" t="s">
        <v>156</v>
      </c>
      <c r="J50" s="107">
        <v>3</v>
      </c>
      <c r="K50" s="33">
        <v>1500000</v>
      </c>
      <c r="L50" s="24">
        <v>248161</v>
      </c>
      <c r="M50" s="24">
        <v>248161</v>
      </c>
      <c r="N50" s="25">
        <f t="shared" si="6"/>
        <v>1500000</v>
      </c>
      <c r="O50" s="25"/>
      <c r="P50" s="25"/>
      <c r="Q50" s="25"/>
      <c r="R50" s="25">
        <f t="shared" si="7"/>
        <v>1500000</v>
      </c>
      <c r="S50" s="34">
        <v>262560</v>
      </c>
      <c r="T50" s="27">
        <f t="shared" si="8"/>
        <v>0.17504</v>
      </c>
      <c r="U50" s="54">
        <v>15360</v>
      </c>
      <c r="V50" s="27">
        <f t="shared" si="9"/>
        <v>1.0240000000000001E-2</v>
      </c>
      <c r="W50" s="24">
        <v>13708.36</v>
      </c>
      <c r="X50" s="27">
        <f t="shared" si="10"/>
        <v>9.1389066666666668E-3</v>
      </c>
      <c r="Y50" s="5"/>
      <c r="Z50" s="5"/>
      <c r="AA50" s="5"/>
    </row>
    <row r="51" spans="1:27" ht="63" customHeight="1" x14ac:dyDescent="0.2">
      <c r="A51" s="21" t="s">
        <v>84</v>
      </c>
      <c r="B51" s="22" t="s">
        <v>85</v>
      </c>
      <c r="C51" s="22" t="s">
        <v>73</v>
      </c>
      <c r="D51" s="22" t="s">
        <v>58</v>
      </c>
      <c r="E51" s="32" t="s">
        <v>62</v>
      </c>
      <c r="F51" s="22" t="s">
        <v>179</v>
      </c>
      <c r="G51" s="22" t="s">
        <v>51</v>
      </c>
      <c r="H51" s="22" t="s">
        <v>145</v>
      </c>
      <c r="I51" s="32" t="s">
        <v>156</v>
      </c>
      <c r="J51" s="107">
        <v>3</v>
      </c>
      <c r="K51" s="33">
        <v>205640</v>
      </c>
      <c r="L51" s="24">
        <v>0</v>
      </c>
      <c r="M51" s="24">
        <v>0</v>
      </c>
      <c r="N51" s="25">
        <f t="shared" si="6"/>
        <v>205640</v>
      </c>
      <c r="O51" s="25"/>
      <c r="P51" s="25"/>
      <c r="Q51" s="25"/>
      <c r="R51" s="25">
        <f t="shared" si="7"/>
        <v>205640</v>
      </c>
      <c r="S51" s="34">
        <v>0</v>
      </c>
      <c r="T51" s="27">
        <f t="shared" si="8"/>
        <v>0</v>
      </c>
      <c r="U51" s="54">
        <v>0</v>
      </c>
      <c r="V51" s="27">
        <f t="shared" si="9"/>
        <v>0</v>
      </c>
      <c r="W51" s="24">
        <v>0</v>
      </c>
      <c r="X51" s="27">
        <f t="shared" si="10"/>
        <v>0</v>
      </c>
      <c r="Y51" s="5"/>
      <c r="Z51" s="5"/>
      <c r="AA51" s="5"/>
    </row>
    <row r="52" spans="1:27" ht="63" customHeight="1" x14ac:dyDescent="0.2">
      <c r="A52" s="21" t="s">
        <v>84</v>
      </c>
      <c r="B52" s="22" t="s">
        <v>85</v>
      </c>
      <c r="C52" s="22" t="s">
        <v>73</v>
      </c>
      <c r="D52" s="22" t="s">
        <v>58</v>
      </c>
      <c r="E52" s="32" t="s">
        <v>62</v>
      </c>
      <c r="F52" s="22" t="s">
        <v>179</v>
      </c>
      <c r="G52" s="22" t="s">
        <v>51</v>
      </c>
      <c r="H52" s="22" t="s">
        <v>145</v>
      </c>
      <c r="I52" s="32" t="s">
        <v>156</v>
      </c>
      <c r="J52" s="43">
        <v>4</v>
      </c>
      <c r="K52" s="33">
        <v>240000</v>
      </c>
      <c r="L52" s="24">
        <v>0</v>
      </c>
      <c r="M52" s="24">
        <v>0</v>
      </c>
      <c r="N52" s="25">
        <f t="shared" si="6"/>
        <v>240000</v>
      </c>
      <c r="O52" s="25"/>
      <c r="P52" s="25"/>
      <c r="Q52" s="25"/>
      <c r="R52" s="25">
        <f t="shared" si="7"/>
        <v>240000</v>
      </c>
      <c r="S52" s="34">
        <v>0</v>
      </c>
      <c r="T52" s="27">
        <f t="shared" si="8"/>
        <v>0</v>
      </c>
      <c r="U52" s="45">
        <v>0</v>
      </c>
      <c r="V52" s="27">
        <f t="shared" si="9"/>
        <v>0</v>
      </c>
      <c r="W52" s="24">
        <v>0</v>
      </c>
      <c r="X52" s="27">
        <f t="shared" si="10"/>
        <v>0</v>
      </c>
      <c r="Y52" s="5"/>
      <c r="Z52" s="5"/>
      <c r="AA52" s="5"/>
    </row>
    <row r="53" spans="1:27" ht="63" customHeight="1" x14ac:dyDescent="0.2">
      <c r="A53" s="21" t="s">
        <v>84</v>
      </c>
      <c r="B53" s="22" t="s">
        <v>85</v>
      </c>
      <c r="C53" s="22" t="s">
        <v>73</v>
      </c>
      <c r="D53" s="22" t="s">
        <v>190</v>
      </c>
      <c r="E53" s="32" t="s">
        <v>62</v>
      </c>
      <c r="F53" s="22" t="s">
        <v>179</v>
      </c>
      <c r="G53" s="22" t="s">
        <v>51</v>
      </c>
      <c r="H53" s="22" t="s">
        <v>148</v>
      </c>
      <c r="I53" s="22" t="s">
        <v>159</v>
      </c>
      <c r="J53" s="107">
        <v>3</v>
      </c>
      <c r="K53" s="33">
        <v>1200000</v>
      </c>
      <c r="L53" s="24">
        <v>0</v>
      </c>
      <c r="M53" s="24">
        <v>0</v>
      </c>
      <c r="N53" s="25">
        <f t="shared" si="6"/>
        <v>1200000</v>
      </c>
      <c r="O53" s="25"/>
      <c r="P53" s="25"/>
      <c r="Q53" s="25"/>
      <c r="R53" s="25">
        <f t="shared" si="7"/>
        <v>1200000</v>
      </c>
      <c r="S53" s="34">
        <v>393130.74</v>
      </c>
      <c r="T53" s="27">
        <f t="shared" si="8"/>
        <v>0.32760895000000001</v>
      </c>
      <c r="U53" s="54">
        <v>0</v>
      </c>
      <c r="V53" s="27">
        <f t="shared" si="9"/>
        <v>0</v>
      </c>
      <c r="W53" s="24">
        <v>0</v>
      </c>
      <c r="X53" s="27">
        <f t="shared" si="10"/>
        <v>0</v>
      </c>
      <c r="Y53" s="5"/>
      <c r="Z53" s="5"/>
      <c r="AA53" s="5"/>
    </row>
    <row r="54" spans="1:27" ht="15.75" customHeight="1" x14ac:dyDescent="0.2">
      <c r="A54" s="119" t="s">
        <v>121</v>
      </c>
      <c r="B54" s="115"/>
      <c r="C54" s="115"/>
      <c r="D54" s="115"/>
      <c r="E54" s="115"/>
      <c r="F54" s="115"/>
      <c r="G54" s="115"/>
      <c r="H54" s="115"/>
      <c r="I54" s="115"/>
      <c r="J54" s="113"/>
      <c r="K54" s="38">
        <f t="shared" ref="K54:S54" si="11">SUM(K30:K53)</f>
        <v>190820000</v>
      </c>
      <c r="L54" s="38">
        <f t="shared" si="11"/>
        <v>57143342.579999998</v>
      </c>
      <c r="M54" s="38">
        <f t="shared" si="11"/>
        <v>57143342.579999998</v>
      </c>
      <c r="N54" s="38">
        <f t="shared" si="11"/>
        <v>190820000</v>
      </c>
      <c r="O54" s="38">
        <f t="shared" si="11"/>
        <v>0</v>
      </c>
      <c r="P54" s="38">
        <f t="shared" si="11"/>
        <v>0</v>
      </c>
      <c r="Q54" s="38">
        <f t="shared" si="11"/>
        <v>0</v>
      </c>
      <c r="R54" s="38">
        <f t="shared" si="11"/>
        <v>190820000</v>
      </c>
      <c r="S54" s="38">
        <f t="shared" si="11"/>
        <v>118680708.74999997</v>
      </c>
      <c r="T54" s="39">
        <f t="shared" si="8"/>
        <v>0.62195109920343761</v>
      </c>
      <c r="U54" s="38">
        <f>SUM(U30:U53)</f>
        <v>1330148.52</v>
      </c>
      <c r="V54" s="39">
        <f t="shared" si="9"/>
        <v>6.9706976207944658E-3</v>
      </c>
      <c r="W54" s="38">
        <f>SUM(W30:W53)</f>
        <v>1328496.8800000001</v>
      </c>
      <c r="X54" s="39">
        <f t="shared" si="10"/>
        <v>6.9620421339482239E-3</v>
      </c>
      <c r="Y54" s="5"/>
      <c r="Z54" s="5"/>
      <c r="AA54" s="5"/>
    </row>
    <row r="55" spans="1:27" ht="15.75" customHeight="1" x14ac:dyDescent="0.2">
      <c r="A55" s="120" t="s">
        <v>122</v>
      </c>
      <c r="B55" s="115"/>
      <c r="C55" s="115"/>
      <c r="D55" s="115"/>
      <c r="E55" s="115"/>
      <c r="F55" s="115"/>
      <c r="G55" s="115"/>
      <c r="H55" s="115"/>
      <c r="I55" s="115"/>
      <c r="J55" s="113"/>
      <c r="K55" s="55">
        <f t="shared" ref="K55:S55" si="12">SUM(K27+K54)</f>
        <v>1214989000</v>
      </c>
      <c r="L55" s="55">
        <f t="shared" si="12"/>
        <v>63172197.159999996</v>
      </c>
      <c r="M55" s="55">
        <f t="shared" si="12"/>
        <v>63172197.159999996</v>
      </c>
      <c r="N55" s="55">
        <f t="shared" si="12"/>
        <v>1214989000</v>
      </c>
      <c r="O55" s="55">
        <f t="shared" si="12"/>
        <v>0</v>
      </c>
      <c r="P55" s="55">
        <f t="shared" si="12"/>
        <v>0</v>
      </c>
      <c r="Q55" s="55">
        <f t="shared" si="12"/>
        <v>0</v>
      </c>
      <c r="R55" s="55">
        <f t="shared" si="12"/>
        <v>1214989000</v>
      </c>
      <c r="S55" s="55">
        <f t="shared" si="12"/>
        <v>200864036.39999998</v>
      </c>
      <c r="T55" s="56">
        <f t="shared" si="8"/>
        <v>0.1653216913074933</v>
      </c>
      <c r="U55" s="55">
        <f>SUM(U27+U54)</f>
        <v>83513476.170000002</v>
      </c>
      <c r="V55" s="56">
        <f t="shared" si="9"/>
        <v>6.8735993634510273E-2</v>
      </c>
      <c r="W55" s="55">
        <f>SUM(W27+W54)</f>
        <v>81897099.410000011</v>
      </c>
      <c r="X55" s="56">
        <f t="shared" si="10"/>
        <v>6.7405630347270637E-2</v>
      </c>
      <c r="Y55" s="29"/>
      <c r="Z55" s="5"/>
      <c r="AA55" s="5"/>
    </row>
    <row r="56" spans="1:27" ht="14.25" customHeight="1" x14ac:dyDescent="0.2">
      <c r="A56" s="57" t="s">
        <v>123</v>
      </c>
      <c r="B56" s="58"/>
      <c r="C56" s="58"/>
      <c r="D56" s="58"/>
      <c r="E56" s="58"/>
      <c r="F56" s="58"/>
      <c r="G56" s="58"/>
      <c r="H56" s="59"/>
      <c r="I56" s="59"/>
      <c r="J56" s="59"/>
      <c r="K56" s="58"/>
      <c r="L56" s="58"/>
      <c r="M56" s="60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5"/>
      <c r="Z56" s="5"/>
      <c r="AA56" s="5"/>
    </row>
    <row r="57" spans="1:27" ht="14.25" customHeight="1" x14ac:dyDescent="0.2">
      <c r="A57" s="57" t="s">
        <v>124</v>
      </c>
      <c r="B57" s="62"/>
      <c r="C57" s="58"/>
      <c r="D57" s="58"/>
      <c r="E57" s="58"/>
      <c r="F57" s="58"/>
      <c r="G57" s="58"/>
      <c r="H57" s="59"/>
      <c r="I57" s="59"/>
      <c r="J57" s="59"/>
      <c r="K57" s="58"/>
      <c r="L57" s="58"/>
      <c r="M57" s="60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5"/>
      <c r="Z57" s="5"/>
      <c r="AA57" s="5"/>
    </row>
    <row r="58" spans="1:27" ht="14.25" customHeight="1" x14ac:dyDescent="0.2">
      <c r="A58" s="121" t="s">
        <v>125</v>
      </c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3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5"/>
      <c r="Z58" s="5"/>
      <c r="AA58" s="5"/>
    </row>
    <row r="59" spans="1:27" ht="14.25" customHeight="1" x14ac:dyDescent="0.2">
      <c r="A59" s="63" t="s">
        <v>162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61"/>
      <c r="O59" s="61"/>
      <c r="P59" s="61"/>
      <c r="Q59" s="5"/>
      <c r="R59" s="5"/>
      <c r="S59" s="5"/>
      <c r="T59" s="5"/>
      <c r="U59" s="5"/>
      <c r="V59" s="5"/>
      <c r="W59" s="5"/>
      <c r="X59" s="64"/>
      <c r="Y59" s="5"/>
      <c r="Z59" s="5"/>
      <c r="AA59" s="5"/>
    </row>
    <row r="60" spans="1:27" ht="14.25" customHeight="1" x14ac:dyDescent="0.2">
      <c r="A60" s="131"/>
      <c r="B60" s="128"/>
      <c r="C60" s="128"/>
      <c r="D60" s="128"/>
      <c r="E60" s="128"/>
      <c r="F60" s="128"/>
      <c r="G60" s="128"/>
      <c r="H60" s="129"/>
      <c r="I60" s="5"/>
      <c r="J60" s="5"/>
      <c r="K60" s="5"/>
      <c r="L60" s="5"/>
      <c r="M60" s="5"/>
      <c r="N60" s="61"/>
      <c r="O60" s="61"/>
      <c r="P60" s="61"/>
      <c r="Q60" s="5"/>
      <c r="R60" s="5"/>
      <c r="S60" s="5"/>
      <c r="T60" s="5"/>
      <c r="U60" s="5"/>
      <c r="V60" s="5"/>
      <c r="W60" s="5"/>
      <c r="X60" s="64"/>
      <c r="Y60" s="5"/>
      <c r="Z60" s="5"/>
      <c r="AA60" s="5"/>
    </row>
    <row r="61" spans="1:27" ht="14.2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4.2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4.2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4.2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4.2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4.2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4.2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4.2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4.2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4.2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4.2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4.2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4.2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4.2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4.2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4.2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4.2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4.2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4.2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4.2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4.2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4.2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4.2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4.2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4.2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4.2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4.2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4.2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4.2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4.2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4.2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4.2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4.2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4.2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4.2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4.2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4.2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2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</sheetData>
  <mergeCells count="28">
    <mergeCell ref="A1:F1"/>
    <mergeCell ref="A2:F2"/>
    <mergeCell ref="A3:F3"/>
    <mergeCell ref="A4:F4"/>
    <mergeCell ref="A6:F6"/>
    <mergeCell ref="A7:F7"/>
    <mergeCell ref="A9:X9"/>
    <mergeCell ref="P11:Q11"/>
    <mergeCell ref="S11:X11"/>
    <mergeCell ref="E12:F12"/>
    <mergeCell ref="H12:I12"/>
    <mergeCell ref="A8:F8"/>
    <mergeCell ref="A11:J11"/>
    <mergeCell ref="K11:K12"/>
    <mergeCell ref="L11:M11"/>
    <mergeCell ref="N11:N12"/>
    <mergeCell ref="O11:O12"/>
    <mergeCell ref="R11:R12"/>
    <mergeCell ref="A27:J27"/>
    <mergeCell ref="A54:J54"/>
    <mergeCell ref="A55:J55"/>
    <mergeCell ref="A58:M58"/>
    <mergeCell ref="A60:H60"/>
    <mergeCell ref="A12:B12"/>
    <mergeCell ref="C12:C13"/>
    <mergeCell ref="D12:D13"/>
    <mergeCell ref="G12:G13"/>
    <mergeCell ref="J12:J13"/>
  </mergeCells>
  <pageMargins left="0.511811024" right="0.511811024" top="0.78740157499999996" bottom="0.78740157499999996" header="0.31496062000000002" footer="0.31496062000000002"/>
  <pageSetup paperSize="9" scale="3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JULHO 2022</vt:lpstr>
      <vt:lpstr>JULHO 2023</vt:lpstr>
      <vt:lpstr>AGOSTO 2022</vt:lpstr>
      <vt:lpstr>JANEIRO 24</vt:lpstr>
      <vt:lpstr>'JANEIRO 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2024-03-06T04:06:13Z</cp:lastPrinted>
  <dcterms:modified xsi:type="dcterms:W3CDTF">2024-03-06T04:07:28Z</dcterms:modified>
</cp:coreProperties>
</file>