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45" windowWidth="28455" windowHeight="11700"/>
  </bookViews>
  <sheets>
    <sheet name="MDEO 2025" sheetId="1" r:id="rId1"/>
  </sheets>
  <calcPr calcId="125725"/>
  <extLst>
    <ext uri="GoogleSheetsCustomDataVersion2">
      <go:sheetsCustomData xmlns:go="http://customooxmlschemas.google.com/" r:id="rId5" roundtripDataChecksum="xU3Jcp6ZgbHzf5wEv0s5T/IFn1EhWv9cudE/owNkrQI="/>
    </ext>
  </extLst>
</workbook>
</file>

<file path=xl/calcChain.xml><?xml version="1.0" encoding="utf-8"?>
<calcChain xmlns="http://schemas.openxmlformats.org/spreadsheetml/2006/main">
  <c r="X70" i="1"/>
  <c r="W70"/>
  <c r="V70"/>
  <c r="T70"/>
  <c r="T71" s="1"/>
  <c r="M70"/>
  <c r="O69"/>
  <c r="M69"/>
  <c r="O68"/>
  <c r="M68"/>
  <c r="M67"/>
  <c r="O67" s="1"/>
  <c r="O66"/>
  <c r="M66"/>
  <c r="M65"/>
  <c r="L65"/>
  <c r="O65" s="1"/>
  <c r="M64"/>
  <c r="O63"/>
  <c r="M63"/>
  <c r="O62"/>
  <c r="M62"/>
  <c r="O61"/>
  <c r="M61"/>
  <c r="M60"/>
  <c r="O60" s="1"/>
  <c r="O59"/>
  <c r="M59"/>
  <c r="O58"/>
  <c r="M58"/>
  <c r="U57"/>
  <c r="U70" s="1"/>
  <c r="U71" s="1"/>
  <c r="T57"/>
  <c r="S57"/>
  <c r="O57"/>
  <c r="M57"/>
  <c r="L57"/>
  <c r="U56"/>
  <c r="T56"/>
  <c r="S56"/>
  <c r="S70" s="1"/>
  <c r="S71" s="1"/>
  <c r="O56"/>
  <c r="M56"/>
  <c r="L56"/>
  <c r="O55"/>
  <c r="M55"/>
  <c r="O54"/>
  <c r="M54"/>
  <c r="O53"/>
  <c r="M53"/>
  <c r="M52"/>
  <c r="O52" s="1"/>
  <c r="O51"/>
  <c r="M51"/>
  <c r="Q50"/>
  <c r="P50"/>
  <c r="O50"/>
  <c r="M50"/>
  <c r="R49"/>
  <c r="Q49"/>
  <c r="P49"/>
  <c r="O49"/>
  <c r="N49"/>
  <c r="N70" s="1"/>
  <c r="M49"/>
  <c r="R48"/>
  <c r="Q48"/>
  <c r="P48"/>
  <c r="O48"/>
  <c r="M48"/>
  <c r="L48"/>
  <c r="R47"/>
  <c r="Q47"/>
  <c r="P47"/>
  <c r="O47"/>
  <c r="M47"/>
  <c r="L47"/>
  <c r="O46"/>
  <c r="M46"/>
  <c r="O45"/>
  <c r="M45"/>
  <c r="O44"/>
  <c r="M44"/>
  <c r="R43"/>
  <c r="Q43"/>
  <c r="P43"/>
  <c r="O43"/>
  <c r="M43"/>
  <c r="L43"/>
  <c r="R42"/>
  <c r="R70" s="1"/>
  <c r="Q42"/>
  <c r="Q70" s="1"/>
  <c r="P42"/>
  <c r="P70" s="1"/>
  <c r="O42"/>
  <c r="M42"/>
  <c r="L42"/>
  <c r="O41"/>
  <c r="M41"/>
  <c r="O40"/>
  <c r="M40"/>
  <c r="M39"/>
  <c r="O39" s="1"/>
  <c r="O38"/>
  <c r="M38"/>
  <c r="O37"/>
  <c r="M37"/>
  <c r="O36"/>
  <c r="M36"/>
  <c r="O35"/>
  <c r="M35"/>
  <c r="O34"/>
  <c r="M34"/>
  <c r="M33"/>
  <c r="O33" s="1"/>
  <c r="O32"/>
  <c r="M32"/>
  <c r="O31"/>
  <c r="M31"/>
  <c r="O30"/>
  <c r="M30"/>
  <c r="U26"/>
  <c r="T26"/>
  <c r="S26"/>
  <c r="R26"/>
  <c r="R71" s="1"/>
  <c r="Q26"/>
  <c r="Q71" s="1"/>
  <c r="P26"/>
  <c r="P71" s="1"/>
  <c r="N26"/>
  <c r="N71" s="1"/>
  <c r="X25"/>
  <c r="W25"/>
  <c r="V25"/>
  <c r="M25"/>
  <c r="L25"/>
  <c r="O25" s="1"/>
  <c r="X24"/>
  <c r="X26" s="1"/>
  <c r="X71" s="1"/>
  <c r="W24"/>
  <c r="W26" s="1"/>
  <c r="W71" s="1"/>
  <c r="V24"/>
  <c r="V26" s="1"/>
  <c r="V71" s="1"/>
  <c r="O24"/>
  <c r="M24"/>
  <c r="L24"/>
  <c r="O23"/>
  <c r="M23"/>
  <c r="O22"/>
  <c r="M22"/>
  <c r="M21"/>
  <c r="O21" s="1"/>
  <c r="O20"/>
  <c r="M20"/>
  <c r="O19"/>
  <c r="M19"/>
  <c r="O18"/>
  <c r="M18"/>
  <c r="O17"/>
  <c r="M17"/>
  <c r="O16"/>
  <c r="M16"/>
  <c r="M15"/>
  <c r="O15" s="1"/>
  <c r="O14"/>
  <c r="M14"/>
  <c r="O13"/>
  <c r="M13"/>
  <c r="M26" s="1"/>
  <c r="M71" s="1"/>
  <c r="O12"/>
  <c r="M12"/>
  <c r="O26" l="1"/>
  <c r="L64"/>
  <c r="L26"/>
  <c r="O64" l="1"/>
  <c r="O70" s="1"/>
  <c r="O71" s="1"/>
  <c r="L70"/>
  <c r="L71" s="1"/>
</calcChain>
</file>

<file path=xl/sharedStrings.xml><?xml version="1.0" encoding="utf-8"?>
<sst xmlns="http://schemas.openxmlformats.org/spreadsheetml/2006/main" count="587" uniqueCount="121">
  <si>
    <t>PODER JUDICIÁRIO</t>
  </si>
  <si>
    <t>ÓRGÃO: TRIBUNAL DE JUSTIÇA DO ESTADO DO AMAZOMAS</t>
  </si>
  <si>
    <t>MAPA DEMONSTRATIVO DA EXECUÇÃO ORÇAMENTÁRIA POR GRAU DE JURISDIÇÃO</t>
  </si>
  <si>
    <t>EXERCÍCIO DE 2025</t>
  </si>
  <si>
    <t>(RESOLUÇÃO 195 CNJ, art. 9º)</t>
  </si>
  <si>
    <t>Classificação Orçamentária</t>
  </si>
  <si>
    <t>Dotação</t>
  </si>
  <si>
    <t>Execução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</si>
  <si>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</si>
  <si>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</si>
  <si>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</si>
  <si>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</si>
  <si>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</si>
  <si>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</si>
  <si>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</si>
  <si>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Inicial - LOA</t>
  </si>
  <si>
    <t>Créditos Adicionais</t>
  </si>
  <si>
    <t>Contingenciado</t>
  </si>
  <si>
    <t>Disponível</t>
  </si>
  <si>
    <t>Primeiro Grau</t>
  </si>
  <si>
    <t>Segundo Grau</t>
  </si>
  <si>
    <t>Primeiro e Segundo Graus (1)</t>
  </si>
  <si>
    <t>Código</t>
  </si>
  <si>
    <t>Programa</t>
  </si>
  <si>
    <t>Ação e Subtítulo</t>
  </si>
  <si>
    <t>A</t>
  </si>
  <si>
    <t>B</t>
  </si>
  <si>
    <t>C</t>
  </si>
  <si>
    <t>D=A+B-C</t>
  </si>
  <si>
    <t>Empenhado</t>
  </si>
  <si>
    <t>Liquidado</t>
  </si>
  <si>
    <t>Pago</t>
  </si>
  <si>
    <t>4101</t>
  </si>
  <si>
    <t>TJAM</t>
  </si>
  <si>
    <t>28.846</t>
  </si>
  <si>
    <t>0003.0023.0001</t>
  </si>
  <si>
    <t>OPERAÇÕES ESPECIAIS: CUMPRIMENTO DE SENTENÇAS JUDICIAIS</t>
  </si>
  <si>
    <t>Cumprimento de Sentenças Judiciais Transitadas em Julgado</t>
  </si>
  <si>
    <t>1</t>
  </si>
  <si>
    <t>1500100</t>
  </si>
  <si>
    <t>Recursos não vinculados de Impostos</t>
  </si>
  <si>
    <t>02.061</t>
  </si>
  <si>
    <t>3290.2560.0001</t>
  </si>
  <si>
    <t>PRESTAÇÃO JURISDICIONAL DO 1.° GRAU NA JUSTIÇA ESTADUAL</t>
  </si>
  <si>
    <t>Apreciação e Julgamento de Causas na Justiça Estadual do 1.º Grau</t>
  </si>
  <si>
    <t>3</t>
  </si>
  <si>
    <t>3290.2561.0001</t>
  </si>
  <si>
    <t>Benefícios aos Servidores do 1.° Grau</t>
  </si>
  <si>
    <t>3290.2563.0001</t>
  </si>
  <si>
    <t xml:space="preserve">Remuneração de Pessoal Ativo e Encargos Sociais do 1.º Grau </t>
  </si>
  <si>
    <t>3291.2564.0001</t>
  </si>
  <si>
    <t>PRESTAÇÃO JURISDICIONAL DO 2.° GRAU E GESTÃO ADMINISTRATIVA NA JUSTIÇA ESTADUAL</t>
  </si>
  <si>
    <t>Benefícios aos Servidores do 2.° Grau</t>
  </si>
  <si>
    <t>3291.2565.0001</t>
  </si>
  <si>
    <t>Apreciação e Julgamento de Causas na Justiça Estadual do 2.º Grau</t>
  </si>
  <si>
    <t>3291.2566.0001</t>
  </si>
  <si>
    <t>Remuneração de Pessoal Ativo e Encargos Sociais do 2.° Grau</t>
  </si>
  <si>
    <t>3291.2744.0001</t>
  </si>
  <si>
    <t>Remuneração de Pessoal Ativo e Encargos Sociais do Apoio Administrativo</t>
  </si>
  <si>
    <t>3291.2745.0001</t>
  </si>
  <si>
    <t>Benefícios aos Servidores do Apoio Administrativo</t>
  </si>
  <si>
    <t>02.122</t>
  </si>
  <si>
    <t>3310.2793.0006</t>
  </si>
  <si>
    <t>APLICAÇÃO DE EMENDAS PARLAMENTARES</t>
  </si>
  <si>
    <t>Desenvolvimento de Ações Decorrentes de Emendas Parlamentares</t>
  </si>
  <si>
    <t>1500121</t>
  </si>
  <si>
    <t>Recursos não vinculados de impostos - FPE</t>
  </si>
  <si>
    <t>4</t>
  </si>
  <si>
    <t>02.128</t>
  </si>
  <si>
    <t>3291.2218.0001</t>
  </si>
  <si>
    <t>Formação e
Aperfeiçoamento dos
servidores</t>
  </si>
  <si>
    <t>3291.2347.0001</t>
  </si>
  <si>
    <t>Operacionalização da Escola Superior de Magistratura - ESMAM</t>
  </si>
  <si>
    <t>02.272</t>
  </si>
  <si>
    <t>0002.0001.0001</t>
  </si>
  <si>
    <t xml:space="preserve">PREVIDÊNCIA DE INATIVOS E PENSIONISTAS DO ESTADO </t>
  </si>
  <si>
    <t>Encargos com Pessoal Inativos e Pensionistas</t>
  </si>
  <si>
    <t>2</t>
  </si>
  <si>
    <t>Total das dotações para despesas obrigatórias</t>
  </si>
  <si>
    <t>Dotações para despesas discricionárias</t>
  </si>
  <si>
    <t>4703</t>
  </si>
  <si>
    <t>FUNJEAM</t>
  </si>
  <si>
    <t>3290.1477.0001</t>
  </si>
  <si>
    <t>Aprimoramento da Segurança Institucional no 1.º Grau</t>
  </si>
  <si>
    <t>1759201</t>
  </si>
  <si>
    <t>Recursos Vinculados a Fundos - Diretamente Arrecadados</t>
  </si>
  <si>
    <t>3290.1476.0001</t>
  </si>
  <si>
    <t>Construção, Ampliação e Reforma de Unidades Jurisdicionais do 1.º Grau</t>
  </si>
  <si>
    <t>FUNJEM</t>
  </si>
  <si>
    <t>3290.1476.0002</t>
  </si>
  <si>
    <t>2759201</t>
  </si>
  <si>
    <t>3290.1476.0003</t>
  </si>
  <si>
    <t>3290.1476.0004</t>
  </si>
  <si>
    <t>3290.1476.0005</t>
  </si>
  <si>
    <t>3290.1476.0006</t>
  </si>
  <si>
    <t>3290.1476.0007</t>
  </si>
  <si>
    <t>3290.1476.0009</t>
  </si>
  <si>
    <t>3290.1476.0011</t>
  </si>
  <si>
    <t>Benefícios aos Servidores do 1.º Grau</t>
  </si>
  <si>
    <t>02.126</t>
  </si>
  <si>
    <t>3290.2627.0001</t>
  </si>
  <si>
    <t>Manutenção, Ampliação e Aperfeiçoamento da Infraestrutura de TIC no 1.º Grau do Poder Judiciário</t>
  </si>
  <si>
    <t>3291.1479.0001</t>
  </si>
  <si>
    <t>Aprimoramento da Segurança Institucional no 2.º Grau</t>
  </si>
  <si>
    <t>3291.1574.0001</t>
  </si>
  <si>
    <t>Ampliação do Quadro Funcional do TJ</t>
  </si>
  <si>
    <t>3291.1478.0001</t>
  </si>
  <si>
    <t>Construção, Ampliação e Reforma de Unidades Jurisdicionais do 2.º Grau</t>
  </si>
  <si>
    <t>3291.1478.0011</t>
  </si>
  <si>
    <t>3291.2628.0001</t>
  </si>
  <si>
    <t>Manutenção, Ampliação e Aperfeiçoamento da Infraestrutura de TIC no 2.º Grau do Poder Judiciário</t>
  </si>
  <si>
    <t>3291.2581.0001</t>
  </si>
  <si>
    <t>Operacionalização da Corregedoria Geral de Justiça - CGJ/AM</t>
  </si>
  <si>
    <t>Operacionalização da Escola Superior da Magistratura - ESMAM</t>
  </si>
  <si>
    <t>1759285</t>
  </si>
  <si>
    <t>Recursos Vinculados a Fundos - Outras Fontes</t>
  </si>
  <si>
    <t>2759285</t>
  </si>
  <si>
    <t>Total das dotações para despesas discricionárias</t>
  </si>
  <si>
    <t>Total</t>
  </si>
  <si>
    <t>(1) O preenchimanto destas colunas é de caráter excepcional. Ocorre quando a dotação executada atender a ambos os graus de jurisdição sem possibilidade de detalhamento.</t>
  </si>
  <si>
    <t xml:space="preserve">(2) Os recursos indicados como Aplicação de Emendas Parlamentares foram alocados para atendimento do 1° Grau uma vez que os recursos foram utilizados para a construção de fórum da Comarca de Alvarães </t>
  </si>
</sst>
</file>

<file path=xl/styles.xml><?xml version="1.0" encoding="utf-8"?>
<styleSheet xmlns="http://schemas.openxmlformats.org/spreadsheetml/2006/main">
  <numFmts count="2">
    <numFmt numFmtId="164" formatCode="#,###.00"/>
    <numFmt numFmtId="165" formatCode="#,##0.00\ ;#,##0.00\ ;\-#\ "/>
  </numFmts>
  <fonts count="8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4" fontId="3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/>
    <xf numFmtId="49" fontId="1" fillId="2" borderId="8" xfId="0" applyNumberFormat="1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49" fontId="1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49" fontId="3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942"/>
  <sheetViews>
    <sheetView tabSelected="1" topLeftCell="A64" workbookViewId="0">
      <selection activeCell="Q23" sqref="Q23"/>
    </sheetView>
  </sheetViews>
  <sheetFormatPr defaultColWidth="12.5703125" defaultRowHeight="15" customHeight="1"/>
  <cols>
    <col min="1" max="1" width="2.140625" customWidth="1"/>
    <col min="2" max="2" width="6.7109375" customWidth="1"/>
    <col min="4" max="4" width="18.7109375" customWidth="1"/>
    <col min="5" max="5" width="18" customWidth="1"/>
    <col min="6" max="6" width="33.85546875" customWidth="1"/>
    <col min="7" max="7" width="20.28515625" customWidth="1"/>
    <col min="8" max="8" width="6.28515625" customWidth="1"/>
    <col min="9" max="9" width="15" customWidth="1"/>
    <col min="10" max="10" width="18.85546875" customWidth="1"/>
    <col min="11" max="11" width="4.42578125" customWidth="1"/>
    <col min="12" max="12" width="18.85546875" customWidth="1"/>
    <col min="13" max="13" width="18.28515625" customWidth="1"/>
    <col min="14" max="14" width="15.85546875" customWidth="1"/>
    <col min="15" max="15" width="18.140625" customWidth="1"/>
    <col min="16" max="16" width="16.85546875" customWidth="1"/>
    <col min="17" max="17" width="19" customWidth="1"/>
    <col min="18" max="18" width="17.85546875" customWidth="1"/>
    <col min="19" max="19" width="18.42578125" customWidth="1"/>
    <col min="20" max="20" width="16.42578125" customWidth="1"/>
    <col min="21" max="21" width="17" customWidth="1"/>
    <col min="22" max="22" width="16.7109375" customWidth="1"/>
    <col min="23" max="23" width="18.85546875" customWidth="1"/>
    <col min="24" max="24" width="18.42578125" customWidth="1"/>
    <col min="25" max="25" width="8.5703125" customWidth="1"/>
    <col min="26" max="26" width="8.7109375" customWidth="1"/>
  </cols>
  <sheetData>
    <row r="1" spans="1:26" ht="12.75" customHeight="1">
      <c r="A1" s="1"/>
      <c r="B1" s="37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1"/>
      <c r="Z1" s="1"/>
    </row>
    <row r="2" spans="1:26" ht="12.75" customHeight="1">
      <c r="A2" s="1"/>
      <c r="B2" s="37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1"/>
      <c r="Z2" s="1"/>
    </row>
    <row r="3" spans="1:26" ht="12.75" customHeight="1">
      <c r="A3" s="1"/>
      <c r="B3" s="37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1"/>
      <c r="Z3" s="1"/>
    </row>
    <row r="4" spans="1:26" ht="12.75" customHeight="1">
      <c r="A4" s="1"/>
      <c r="B4" s="37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1"/>
      <c r="Z4" s="1"/>
    </row>
    <row r="5" spans="1:26" ht="4.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4"/>
      <c r="P5" s="2"/>
      <c r="Q5" s="2"/>
      <c r="R5" s="2"/>
      <c r="S5" s="2"/>
      <c r="T5" s="2"/>
      <c r="U5" s="2"/>
      <c r="V5" s="2"/>
      <c r="W5" s="2"/>
      <c r="X5" s="2"/>
      <c r="Y5" s="1"/>
      <c r="Z5" s="1"/>
    </row>
    <row r="6" spans="1:26" ht="12.75" customHeight="1">
      <c r="A6" s="1"/>
      <c r="B6" s="37" t="s">
        <v>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1"/>
      <c r="Z6" s="1"/>
    </row>
    <row r="7" spans="1:26" ht="6" customHeight="1">
      <c r="A7" s="1"/>
      <c r="B7" s="39"/>
      <c r="C7" s="38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4"/>
      <c r="P7" s="2"/>
      <c r="Q7" s="2"/>
      <c r="R7" s="2"/>
      <c r="S7" s="2"/>
      <c r="T7" s="2"/>
      <c r="U7" s="2"/>
      <c r="V7" s="2"/>
      <c r="W7" s="2"/>
      <c r="X7" s="2"/>
      <c r="Y7" s="1"/>
      <c r="Z7" s="1"/>
    </row>
    <row r="8" spans="1:26" ht="24.75" customHeight="1">
      <c r="A8" s="1"/>
      <c r="B8" s="36" t="s">
        <v>5</v>
      </c>
      <c r="C8" s="34"/>
      <c r="D8" s="34"/>
      <c r="E8" s="34"/>
      <c r="F8" s="34"/>
      <c r="G8" s="34"/>
      <c r="H8" s="34"/>
      <c r="I8" s="34"/>
      <c r="J8" s="34"/>
      <c r="K8" s="35"/>
      <c r="L8" s="33" t="s">
        <v>6</v>
      </c>
      <c r="M8" s="34"/>
      <c r="N8" s="34"/>
      <c r="O8" s="35"/>
      <c r="P8" s="36" t="s">
        <v>7</v>
      </c>
      <c r="Q8" s="34"/>
      <c r="R8" s="34"/>
      <c r="S8" s="34"/>
      <c r="T8" s="34"/>
      <c r="U8" s="34"/>
      <c r="V8" s="34"/>
      <c r="W8" s="34"/>
      <c r="X8" s="35"/>
      <c r="Y8" s="1"/>
      <c r="Z8" s="1"/>
    </row>
    <row r="9" spans="1:26" ht="21.75" customHeight="1">
      <c r="A9" s="1"/>
      <c r="B9" s="36" t="s">
        <v>8</v>
      </c>
      <c r="C9" s="35"/>
      <c r="D9" s="40" t="s">
        <v>9</v>
      </c>
      <c r="E9" s="40" t="s">
        <v>10</v>
      </c>
      <c r="F9" s="36" t="s">
        <v>11</v>
      </c>
      <c r="G9" s="35"/>
      <c r="H9" s="40" t="s">
        <v>12</v>
      </c>
      <c r="I9" s="36" t="s">
        <v>13</v>
      </c>
      <c r="J9" s="35"/>
      <c r="K9" s="40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36" t="s">
        <v>19</v>
      </c>
      <c r="Q9" s="34"/>
      <c r="R9" s="35"/>
      <c r="S9" s="36" t="s">
        <v>20</v>
      </c>
      <c r="T9" s="34"/>
      <c r="U9" s="35"/>
      <c r="V9" s="36" t="s">
        <v>21</v>
      </c>
      <c r="W9" s="34"/>
      <c r="X9" s="35"/>
      <c r="Y9" s="1"/>
      <c r="Z9" s="1"/>
    </row>
    <row r="10" spans="1:26" ht="43.5" customHeight="1">
      <c r="A10" s="1"/>
      <c r="B10" s="6" t="s">
        <v>22</v>
      </c>
      <c r="C10" s="6" t="s">
        <v>11</v>
      </c>
      <c r="D10" s="41"/>
      <c r="E10" s="41"/>
      <c r="F10" s="6" t="s">
        <v>23</v>
      </c>
      <c r="G10" s="6" t="s">
        <v>24</v>
      </c>
      <c r="H10" s="41"/>
      <c r="I10" s="6" t="s">
        <v>22</v>
      </c>
      <c r="J10" s="6" t="s">
        <v>11</v>
      </c>
      <c r="K10" s="41"/>
      <c r="L10" s="5" t="s">
        <v>25</v>
      </c>
      <c r="M10" s="5" t="s">
        <v>26</v>
      </c>
      <c r="N10" s="5" t="s">
        <v>27</v>
      </c>
      <c r="O10" s="5" t="s">
        <v>28</v>
      </c>
      <c r="P10" s="6" t="s">
        <v>29</v>
      </c>
      <c r="Q10" s="6" t="s">
        <v>30</v>
      </c>
      <c r="R10" s="6" t="s">
        <v>31</v>
      </c>
      <c r="S10" s="6" t="s">
        <v>29</v>
      </c>
      <c r="T10" s="6" t="s">
        <v>30</v>
      </c>
      <c r="U10" s="6" t="s">
        <v>31</v>
      </c>
      <c r="V10" s="6" t="s">
        <v>29</v>
      </c>
      <c r="W10" s="6" t="s">
        <v>30</v>
      </c>
      <c r="X10" s="6" t="s">
        <v>31</v>
      </c>
      <c r="Y10" s="1"/>
      <c r="Z10" s="1"/>
    </row>
    <row r="11" spans="1:26" ht="18" customHeight="1">
      <c r="A11" s="1"/>
      <c r="B11" s="56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5"/>
      <c r="Y11" s="1"/>
      <c r="Z11" s="1"/>
    </row>
    <row r="12" spans="1:26" ht="39.75" customHeight="1">
      <c r="A12" s="1"/>
      <c r="B12" s="7" t="s">
        <v>32</v>
      </c>
      <c r="C12" s="8" t="s">
        <v>33</v>
      </c>
      <c r="D12" s="8" t="s">
        <v>34</v>
      </c>
      <c r="E12" s="8" t="s">
        <v>35</v>
      </c>
      <c r="F12" s="8" t="s">
        <v>36</v>
      </c>
      <c r="G12" s="8" t="s">
        <v>37</v>
      </c>
      <c r="H12" s="8" t="s">
        <v>38</v>
      </c>
      <c r="I12" s="8" t="s">
        <v>39</v>
      </c>
      <c r="J12" s="8" t="s">
        <v>40</v>
      </c>
      <c r="K12" s="8" t="s">
        <v>38</v>
      </c>
      <c r="L12" s="9">
        <v>843000</v>
      </c>
      <c r="M12" s="9">
        <f>122924.43-0</f>
        <v>122924.43</v>
      </c>
      <c r="N12" s="9">
        <v>0</v>
      </c>
      <c r="O12" s="10">
        <f t="shared" ref="O12:O25" si="0">L12+M12-N12</f>
        <v>965924.42999999993</v>
      </c>
      <c r="P12" s="11"/>
      <c r="Q12" s="11"/>
      <c r="R12" s="11"/>
      <c r="S12" s="11"/>
      <c r="T12" s="11"/>
      <c r="U12" s="11"/>
      <c r="V12" s="12">
        <v>965924.43</v>
      </c>
      <c r="W12" s="12">
        <v>965924.43</v>
      </c>
      <c r="X12" s="12">
        <v>965924.43</v>
      </c>
      <c r="Y12" s="1"/>
      <c r="Z12" s="1"/>
    </row>
    <row r="13" spans="1:26" ht="51">
      <c r="A13" s="1"/>
      <c r="B13" s="7" t="s">
        <v>32</v>
      </c>
      <c r="C13" s="8" t="s">
        <v>33</v>
      </c>
      <c r="D13" s="8" t="s">
        <v>41</v>
      </c>
      <c r="E13" s="8" t="s">
        <v>42</v>
      </c>
      <c r="F13" s="8" t="s">
        <v>43</v>
      </c>
      <c r="G13" s="8" t="s">
        <v>44</v>
      </c>
      <c r="H13" s="8" t="s">
        <v>38</v>
      </c>
      <c r="I13" s="8" t="s">
        <v>39</v>
      </c>
      <c r="J13" s="8" t="s">
        <v>40</v>
      </c>
      <c r="K13" s="8" t="s">
        <v>45</v>
      </c>
      <c r="L13" s="9">
        <v>100000</v>
      </c>
      <c r="M13" s="9">
        <f>0-100000</f>
        <v>-100000</v>
      </c>
      <c r="N13" s="9">
        <v>0</v>
      </c>
      <c r="O13" s="10">
        <f t="shared" si="0"/>
        <v>0</v>
      </c>
      <c r="P13" s="9">
        <v>0</v>
      </c>
      <c r="Q13" s="9">
        <v>0</v>
      </c>
      <c r="R13" s="9">
        <v>0</v>
      </c>
      <c r="S13" s="11"/>
      <c r="T13" s="11"/>
      <c r="U13" s="11"/>
      <c r="V13" s="11"/>
      <c r="W13" s="11"/>
      <c r="X13" s="11"/>
      <c r="Y13" s="1"/>
      <c r="Z13" s="1"/>
    </row>
    <row r="14" spans="1:26" ht="38.25">
      <c r="A14" s="1"/>
      <c r="B14" s="7" t="s">
        <v>32</v>
      </c>
      <c r="C14" s="8" t="s">
        <v>33</v>
      </c>
      <c r="D14" s="8" t="s">
        <v>41</v>
      </c>
      <c r="E14" s="8" t="s">
        <v>46</v>
      </c>
      <c r="F14" s="8" t="s">
        <v>43</v>
      </c>
      <c r="G14" s="8" t="s">
        <v>47</v>
      </c>
      <c r="H14" s="8" t="s">
        <v>38</v>
      </c>
      <c r="I14" s="8" t="s">
        <v>39</v>
      </c>
      <c r="J14" s="8" t="s">
        <v>40</v>
      </c>
      <c r="K14" s="8" t="s">
        <v>45</v>
      </c>
      <c r="L14" s="9">
        <v>84417500</v>
      </c>
      <c r="M14" s="9">
        <f>8197389.02-8678337.36</f>
        <v>-480948.33999999985</v>
      </c>
      <c r="N14" s="9">
        <v>0</v>
      </c>
      <c r="O14" s="10">
        <f t="shared" si="0"/>
        <v>83936551.659999996</v>
      </c>
      <c r="P14" s="12">
        <v>83936551.659999996</v>
      </c>
      <c r="Q14" s="12">
        <v>83936551.659999996</v>
      </c>
      <c r="R14" s="12">
        <v>83936551.659999996</v>
      </c>
      <c r="S14" s="11"/>
      <c r="T14" s="11"/>
      <c r="U14" s="11"/>
      <c r="V14" s="11"/>
      <c r="W14" s="11"/>
      <c r="X14" s="11"/>
      <c r="Y14" s="1"/>
      <c r="Z14" s="1"/>
    </row>
    <row r="15" spans="1:26" ht="51">
      <c r="A15" s="1"/>
      <c r="B15" s="7" t="s">
        <v>32</v>
      </c>
      <c r="C15" s="8" t="s">
        <v>33</v>
      </c>
      <c r="D15" s="8" t="s">
        <v>41</v>
      </c>
      <c r="E15" s="8" t="s">
        <v>48</v>
      </c>
      <c r="F15" s="8" t="s">
        <v>43</v>
      </c>
      <c r="G15" s="8" t="s">
        <v>49</v>
      </c>
      <c r="H15" s="8" t="s">
        <v>38</v>
      </c>
      <c r="I15" s="8" t="s">
        <v>39</v>
      </c>
      <c r="J15" s="8" t="s">
        <v>40</v>
      </c>
      <c r="K15" s="8" t="s">
        <v>38</v>
      </c>
      <c r="L15" s="9">
        <v>509048274</v>
      </c>
      <c r="M15" s="9">
        <f>79273937.52-40581330.83</f>
        <v>38692606.689999998</v>
      </c>
      <c r="N15" s="9">
        <v>0</v>
      </c>
      <c r="O15" s="10">
        <f t="shared" si="0"/>
        <v>547740880.69000006</v>
      </c>
      <c r="P15" s="12">
        <v>547740880.69000006</v>
      </c>
      <c r="Q15" s="12">
        <v>546759216.02999997</v>
      </c>
      <c r="R15" s="12">
        <v>545816348.62</v>
      </c>
      <c r="S15" s="11"/>
      <c r="T15" s="11"/>
      <c r="U15" s="11"/>
      <c r="V15" s="13"/>
      <c r="W15" s="13"/>
      <c r="X15" s="13"/>
      <c r="Y15" s="1"/>
      <c r="Z15" s="1"/>
    </row>
    <row r="16" spans="1:26" ht="44.25" customHeight="1">
      <c r="A16" s="1"/>
      <c r="B16" s="14" t="s">
        <v>32</v>
      </c>
      <c r="C16" s="15" t="s">
        <v>33</v>
      </c>
      <c r="D16" s="15" t="s">
        <v>41</v>
      </c>
      <c r="E16" s="15" t="s">
        <v>50</v>
      </c>
      <c r="F16" s="8" t="s">
        <v>51</v>
      </c>
      <c r="G16" s="15" t="s">
        <v>52</v>
      </c>
      <c r="H16" s="15" t="s">
        <v>38</v>
      </c>
      <c r="I16" s="15" t="s">
        <v>39</v>
      </c>
      <c r="J16" s="8" t="s">
        <v>40</v>
      </c>
      <c r="K16" s="15" t="s">
        <v>45</v>
      </c>
      <c r="L16" s="9">
        <v>24811400</v>
      </c>
      <c r="M16" s="9">
        <f>4219961.77-306085.78</f>
        <v>3913875.9899999993</v>
      </c>
      <c r="N16" s="9">
        <v>0</v>
      </c>
      <c r="O16" s="10">
        <f t="shared" si="0"/>
        <v>28725275.989999998</v>
      </c>
      <c r="P16" s="11"/>
      <c r="Q16" s="11"/>
      <c r="R16" s="11"/>
      <c r="S16" s="9">
        <v>28725275.989999998</v>
      </c>
      <c r="T16" s="9">
        <v>28725275.989999998</v>
      </c>
      <c r="U16" s="9">
        <v>28725275.989999998</v>
      </c>
      <c r="V16" s="11"/>
      <c r="W16" s="11"/>
      <c r="X16" s="11"/>
      <c r="Y16" s="1"/>
      <c r="Z16" s="1"/>
    </row>
    <row r="17" spans="1:26" ht="51">
      <c r="A17" s="1"/>
      <c r="B17" s="7" t="s">
        <v>32</v>
      </c>
      <c r="C17" s="8" t="s">
        <v>33</v>
      </c>
      <c r="D17" s="8" t="s">
        <v>41</v>
      </c>
      <c r="E17" s="8" t="s">
        <v>53</v>
      </c>
      <c r="F17" s="8" t="s">
        <v>51</v>
      </c>
      <c r="G17" s="8" t="s">
        <v>54</v>
      </c>
      <c r="H17" s="8" t="s">
        <v>38</v>
      </c>
      <c r="I17" s="8" t="s">
        <v>39</v>
      </c>
      <c r="J17" s="8" t="s">
        <v>40</v>
      </c>
      <c r="K17" s="8" t="s">
        <v>45</v>
      </c>
      <c r="L17" s="9">
        <v>50000</v>
      </c>
      <c r="M17" s="9">
        <f>0-50000</f>
        <v>-50000</v>
      </c>
      <c r="N17" s="9">
        <v>0</v>
      </c>
      <c r="O17" s="10">
        <f t="shared" si="0"/>
        <v>0</v>
      </c>
      <c r="P17" s="11"/>
      <c r="Q17" s="11"/>
      <c r="R17" s="11"/>
      <c r="S17" s="9">
        <v>0</v>
      </c>
      <c r="T17" s="9">
        <v>0</v>
      </c>
      <c r="U17" s="9">
        <v>0</v>
      </c>
      <c r="V17" s="11"/>
      <c r="W17" s="11"/>
      <c r="X17" s="11"/>
      <c r="Y17" s="1"/>
      <c r="Z17" s="1"/>
    </row>
    <row r="18" spans="1:26" ht="55.5" customHeight="1">
      <c r="A18" s="1"/>
      <c r="B18" s="7" t="s">
        <v>32</v>
      </c>
      <c r="C18" s="8" t="s">
        <v>33</v>
      </c>
      <c r="D18" s="8" t="s">
        <v>41</v>
      </c>
      <c r="E18" s="15" t="s">
        <v>55</v>
      </c>
      <c r="F18" s="8" t="s">
        <v>51</v>
      </c>
      <c r="G18" s="15" t="s">
        <v>56</v>
      </c>
      <c r="H18" s="8" t="s">
        <v>38</v>
      </c>
      <c r="I18" s="8" t="s">
        <v>39</v>
      </c>
      <c r="J18" s="8" t="s">
        <v>40</v>
      </c>
      <c r="K18" s="15" t="s">
        <v>38</v>
      </c>
      <c r="L18" s="9">
        <v>134637767</v>
      </c>
      <c r="M18" s="9">
        <f>32569497.23-10046011.52</f>
        <v>22523485.710000001</v>
      </c>
      <c r="N18" s="9">
        <v>0</v>
      </c>
      <c r="O18" s="10">
        <f t="shared" si="0"/>
        <v>157161252.71000001</v>
      </c>
      <c r="P18" s="11"/>
      <c r="Q18" s="11"/>
      <c r="R18" s="11"/>
      <c r="S18" s="12">
        <v>157161252.71000001</v>
      </c>
      <c r="T18" s="12">
        <v>156660906.34999999</v>
      </c>
      <c r="U18" s="12">
        <v>156085072.47</v>
      </c>
      <c r="V18" s="11"/>
      <c r="W18" s="11"/>
      <c r="X18" s="11"/>
      <c r="Y18" s="1"/>
      <c r="Z18" s="1"/>
    </row>
    <row r="19" spans="1:26" ht="51">
      <c r="A19" s="1"/>
      <c r="B19" s="7" t="s">
        <v>32</v>
      </c>
      <c r="C19" s="8" t="s">
        <v>33</v>
      </c>
      <c r="D19" s="8" t="s">
        <v>41</v>
      </c>
      <c r="E19" s="8" t="s">
        <v>57</v>
      </c>
      <c r="F19" s="8" t="s">
        <v>51</v>
      </c>
      <c r="G19" s="8" t="s">
        <v>58</v>
      </c>
      <c r="H19" s="8" t="s">
        <v>38</v>
      </c>
      <c r="I19" s="8" t="s">
        <v>39</v>
      </c>
      <c r="J19" s="8" t="s">
        <v>40</v>
      </c>
      <c r="K19" s="8" t="s">
        <v>38</v>
      </c>
      <c r="L19" s="9">
        <v>171339678</v>
      </c>
      <c r="M19" s="9">
        <f>15343806.64-16419331.88</f>
        <v>-1075525.2400000002</v>
      </c>
      <c r="N19" s="9">
        <v>0</v>
      </c>
      <c r="O19" s="10">
        <f t="shared" si="0"/>
        <v>170264152.75999999</v>
      </c>
      <c r="P19" s="11"/>
      <c r="Q19" s="11"/>
      <c r="R19" s="11"/>
      <c r="S19" s="12">
        <v>170264152.75999999</v>
      </c>
      <c r="T19" s="12">
        <v>170264003.91</v>
      </c>
      <c r="U19" s="12">
        <v>169757992.38</v>
      </c>
      <c r="V19" s="11"/>
      <c r="W19" s="11"/>
      <c r="X19" s="11"/>
      <c r="Y19" s="1"/>
      <c r="Z19" s="1"/>
    </row>
    <row r="20" spans="1:26" ht="54" customHeight="1">
      <c r="A20" s="1"/>
      <c r="B20" s="14" t="s">
        <v>32</v>
      </c>
      <c r="C20" s="15" t="s">
        <v>33</v>
      </c>
      <c r="D20" s="15" t="s">
        <v>41</v>
      </c>
      <c r="E20" s="15" t="s">
        <v>59</v>
      </c>
      <c r="F20" s="8" t="s">
        <v>51</v>
      </c>
      <c r="G20" s="15" t="s">
        <v>60</v>
      </c>
      <c r="H20" s="15" t="s">
        <v>38</v>
      </c>
      <c r="I20" s="15" t="s">
        <v>39</v>
      </c>
      <c r="J20" s="8" t="s">
        <v>40</v>
      </c>
      <c r="K20" s="15" t="s">
        <v>45</v>
      </c>
      <c r="L20" s="9">
        <v>27383200</v>
      </c>
      <c r="M20" s="9">
        <f>2357038.21-29793.05</f>
        <v>2327245.16</v>
      </c>
      <c r="N20" s="9">
        <v>0</v>
      </c>
      <c r="O20" s="10">
        <f t="shared" si="0"/>
        <v>29710445.16</v>
      </c>
      <c r="P20" s="11"/>
      <c r="Q20" s="11"/>
      <c r="R20" s="11"/>
      <c r="S20" s="12">
        <v>29710445.16</v>
      </c>
      <c r="T20" s="12">
        <v>29710445.16</v>
      </c>
      <c r="U20" s="12">
        <v>29710445.16</v>
      </c>
      <c r="V20" s="11"/>
      <c r="W20" s="11"/>
      <c r="X20" s="11"/>
      <c r="Y20" s="1"/>
      <c r="Z20" s="1"/>
    </row>
    <row r="21" spans="1:26" ht="51">
      <c r="A21" s="1"/>
      <c r="B21" s="7" t="s">
        <v>32</v>
      </c>
      <c r="C21" s="8" t="s">
        <v>33</v>
      </c>
      <c r="D21" s="15" t="s">
        <v>61</v>
      </c>
      <c r="E21" s="15" t="s">
        <v>62</v>
      </c>
      <c r="F21" s="15" t="s">
        <v>63</v>
      </c>
      <c r="G21" s="15" t="s">
        <v>64</v>
      </c>
      <c r="H21" s="8" t="s">
        <v>38</v>
      </c>
      <c r="I21" s="15" t="s">
        <v>65</v>
      </c>
      <c r="J21" s="15" t="s">
        <v>66</v>
      </c>
      <c r="K21" s="15" t="s">
        <v>67</v>
      </c>
      <c r="L21" s="9">
        <v>0</v>
      </c>
      <c r="M21" s="9">
        <f>100000</f>
        <v>100000</v>
      </c>
      <c r="N21" s="9">
        <v>0</v>
      </c>
      <c r="O21" s="10">
        <f t="shared" si="0"/>
        <v>100000</v>
      </c>
      <c r="P21" s="12">
        <v>100000</v>
      </c>
      <c r="Q21" s="12">
        <v>100000</v>
      </c>
      <c r="R21" s="12">
        <v>100000</v>
      </c>
      <c r="S21" s="11"/>
      <c r="T21" s="11"/>
      <c r="U21" s="11"/>
      <c r="V21" s="11"/>
      <c r="W21" s="11"/>
      <c r="X21" s="11"/>
      <c r="Y21" s="1"/>
      <c r="Z21" s="1"/>
    </row>
    <row r="22" spans="1:26" ht="47.25" customHeight="1">
      <c r="A22" s="1"/>
      <c r="B22" s="7" t="s">
        <v>32</v>
      </c>
      <c r="C22" s="8" t="s">
        <v>33</v>
      </c>
      <c r="D22" s="15" t="s">
        <v>68</v>
      </c>
      <c r="E22" s="15" t="s">
        <v>69</v>
      </c>
      <c r="F22" s="8" t="s">
        <v>51</v>
      </c>
      <c r="G22" s="15" t="s">
        <v>70</v>
      </c>
      <c r="H22" s="8" t="s">
        <v>38</v>
      </c>
      <c r="I22" s="15" t="s">
        <v>39</v>
      </c>
      <c r="J22" s="8" t="s">
        <v>40</v>
      </c>
      <c r="K22" s="8" t="s">
        <v>38</v>
      </c>
      <c r="L22" s="9">
        <v>367581</v>
      </c>
      <c r="M22" s="9">
        <f>106324-0</f>
        <v>106324</v>
      </c>
      <c r="N22" s="9">
        <v>0</v>
      </c>
      <c r="O22" s="10">
        <f t="shared" si="0"/>
        <v>473905</v>
      </c>
      <c r="P22" s="11"/>
      <c r="Q22" s="11"/>
      <c r="R22" s="11"/>
      <c r="S22" s="12">
        <v>473905</v>
      </c>
      <c r="T22" s="12">
        <v>473905</v>
      </c>
      <c r="U22" s="12">
        <v>473905</v>
      </c>
      <c r="V22" s="11"/>
      <c r="W22" s="11"/>
      <c r="X22" s="11"/>
      <c r="Y22" s="1"/>
      <c r="Z22" s="1"/>
    </row>
    <row r="23" spans="1:26" ht="51">
      <c r="A23" s="1"/>
      <c r="B23" s="7" t="s">
        <v>32</v>
      </c>
      <c r="C23" s="8" t="s">
        <v>33</v>
      </c>
      <c r="D23" s="15" t="s">
        <v>68</v>
      </c>
      <c r="E23" s="15" t="s">
        <v>71</v>
      </c>
      <c r="F23" s="8" t="s">
        <v>51</v>
      </c>
      <c r="G23" s="15" t="s">
        <v>72</v>
      </c>
      <c r="H23" s="8" t="s">
        <v>38</v>
      </c>
      <c r="I23" s="15" t="s">
        <v>39</v>
      </c>
      <c r="J23" s="8" t="s">
        <v>40</v>
      </c>
      <c r="K23" s="8" t="s">
        <v>38</v>
      </c>
      <c r="L23" s="9">
        <v>306000</v>
      </c>
      <c r="M23" s="9">
        <f>0-81597.1</f>
        <v>-81597.100000000006</v>
      </c>
      <c r="N23" s="9">
        <v>0</v>
      </c>
      <c r="O23" s="10">
        <f t="shared" si="0"/>
        <v>224402.9</v>
      </c>
      <c r="P23" s="11"/>
      <c r="Q23" s="11"/>
      <c r="R23" s="11"/>
      <c r="S23" s="12">
        <v>224402.9</v>
      </c>
      <c r="T23" s="12">
        <v>224402.9</v>
      </c>
      <c r="U23" s="12">
        <v>224402.9</v>
      </c>
      <c r="V23" s="11"/>
      <c r="W23" s="11"/>
      <c r="X23" s="11"/>
      <c r="Y23" s="1"/>
      <c r="Z23" s="1"/>
    </row>
    <row r="24" spans="1:26" ht="48" customHeight="1">
      <c r="A24" s="1"/>
      <c r="B24" s="7" t="s">
        <v>32</v>
      </c>
      <c r="C24" s="8" t="s">
        <v>33</v>
      </c>
      <c r="D24" s="8" t="s">
        <v>73</v>
      </c>
      <c r="E24" s="8" t="s">
        <v>74</v>
      </c>
      <c r="F24" s="8" t="s">
        <v>75</v>
      </c>
      <c r="G24" s="8" t="s">
        <v>76</v>
      </c>
      <c r="H24" s="8" t="s">
        <v>77</v>
      </c>
      <c r="I24" s="8" t="s">
        <v>39</v>
      </c>
      <c r="J24" s="8" t="s">
        <v>40</v>
      </c>
      <c r="K24" s="8" t="s">
        <v>38</v>
      </c>
      <c r="L24" s="10">
        <f>146328600-6237900</f>
        <v>140090700</v>
      </c>
      <c r="M24" s="10">
        <f>104344864.65-6894797.76-40428284.23</f>
        <v>57021782.660000004</v>
      </c>
      <c r="N24" s="9">
        <v>0</v>
      </c>
      <c r="O24" s="10">
        <f t="shared" si="0"/>
        <v>197112482.66</v>
      </c>
      <c r="P24" s="11"/>
      <c r="Q24" s="11"/>
      <c r="R24" s="11"/>
      <c r="S24" s="10"/>
      <c r="T24" s="10"/>
      <c r="U24" s="10"/>
      <c r="V24" s="11">
        <f>121504894.42-13132504.8</f>
        <v>108372389.62</v>
      </c>
      <c r="W24" s="11">
        <f t="shared" ref="W24:X24" si="1">119504854.47-13132504.8</f>
        <v>106372349.67</v>
      </c>
      <c r="X24" s="11">
        <f t="shared" si="1"/>
        <v>106372349.67</v>
      </c>
      <c r="Y24" s="1"/>
      <c r="Z24" s="1"/>
    </row>
    <row r="25" spans="1:26" ht="47.25" customHeight="1">
      <c r="A25" s="1"/>
      <c r="B25" s="7" t="s">
        <v>32</v>
      </c>
      <c r="C25" s="8" t="s">
        <v>33</v>
      </c>
      <c r="D25" s="8" t="s">
        <v>73</v>
      </c>
      <c r="E25" s="8" t="s">
        <v>74</v>
      </c>
      <c r="F25" s="8" t="s">
        <v>75</v>
      </c>
      <c r="G25" s="8" t="s">
        <v>76</v>
      </c>
      <c r="H25" s="8" t="s">
        <v>77</v>
      </c>
      <c r="I25" s="8" t="s">
        <v>39</v>
      </c>
      <c r="J25" s="8" t="s">
        <v>40</v>
      </c>
      <c r="K25" s="8" t="s">
        <v>45</v>
      </c>
      <c r="L25" s="10">
        <f>6237900</f>
        <v>6237900</v>
      </c>
      <c r="M25" s="10">
        <f>6894488.16+309.6-192.96</f>
        <v>6894604.7999999998</v>
      </c>
      <c r="N25" s="9">
        <v>0</v>
      </c>
      <c r="O25" s="10">
        <f t="shared" si="0"/>
        <v>13132504.800000001</v>
      </c>
      <c r="P25" s="11"/>
      <c r="Q25" s="11"/>
      <c r="R25" s="11"/>
      <c r="S25" s="11"/>
      <c r="T25" s="11"/>
      <c r="U25" s="11"/>
      <c r="V25" s="11">
        <f t="shared" ref="V25:X25" si="2">18955.04+350414.29+12762825.87+309.6</f>
        <v>13132504.799999999</v>
      </c>
      <c r="W25" s="11">
        <f t="shared" si="2"/>
        <v>13132504.799999999</v>
      </c>
      <c r="X25" s="11">
        <f t="shared" si="2"/>
        <v>13132504.799999999</v>
      </c>
      <c r="Y25" s="1"/>
      <c r="Z25" s="1"/>
    </row>
    <row r="26" spans="1:26" ht="18" customHeight="1">
      <c r="A26" s="16"/>
      <c r="B26" s="42" t="s">
        <v>78</v>
      </c>
      <c r="C26" s="43"/>
      <c r="D26" s="43"/>
      <c r="E26" s="43"/>
      <c r="F26" s="43"/>
      <c r="G26" s="43"/>
      <c r="H26" s="43"/>
      <c r="I26" s="43"/>
      <c r="J26" s="43"/>
      <c r="K26" s="44"/>
      <c r="L26" s="17">
        <f t="shared" ref="L26:X26" si="3">SUM(L12:L25)</f>
        <v>1099633000</v>
      </c>
      <c r="M26" s="17">
        <f t="shared" si="3"/>
        <v>129914778.76000001</v>
      </c>
      <c r="N26" s="17">
        <f t="shared" si="3"/>
        <v>0</v>
      </c>
      <c r="O26" s="17">
        <f t="shared" si="3"/>
        <v>1229547778.76</v>
      </c>
      <c r="P26" s="17">
        <f t="shared" si="3"/>
        <v>631777432.35000002</v>
      </c>
      <c r="Q26" s="17">
        <f t="shared" si="3"/>
        <v>630795767.68999994</v>
      </c>
      <c r="R26" s="17">
        <f t="shared" si="3"/>
        <v>629852900.27999997</v>
      </c>
      <c r="S26" s="17">
        <f t="shared" si="3"/>
        <v>386559434.52000004</v>
      </c>
      <c r="T26" s="17">
        <f t="shared" si="3"/>
        <v>386058939.31</v>
      </c>
      <c r="U26" s="18">
        <f t="shared" si="3"/>
        <v>384977093.90000004</v>
      </c>
      <c r="V26" s="18">
        <f t="shared" si="3"/>
        <v>122470818.85000001</v>
      </c>
      <c r="W26" s="18">
        <f t="shared" si="3"/>
        <v>120470778.90000001</v>
      </c>
      <c r="X26" s="18">
        <f t="shared" si="3"/>
        <v>120470778.90000001</v>
      </c>
      <c r="Y26" s="19"/>
      <c r="Z26" s="1"/>
    </row>
    <row r="27" spans="1:26" ht="18" customHeight="1">
      <c r="A27" s="16"/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7"/>
      <c r="Y27" s="1"/>
      <c r="Z27" s="1"/>
    </row>
    <row r="28" spans="1:26" ht="18" customHeight="1">
      <c r="A28" s="16"/>
      <c r="B28" s="4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9"/>
      <c r="Y28" s="1"/>
      <c r="Z28" s="1"/>
    </row>
    <row r="29" spans="1:26" ht="18" customHeight="1">
      <c r="A29" s="16"/>
      <c r="B29" s="50" t="s">
        <v>79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2"/>
      <c r="Y29" s="1"/>
      <c r="Z29" s="1"/>
    </row>
    <row r="30" spans="1:26" ht="63" customHeight="1">
      <c r="A30" s="1"/>
      <c r="B30" s="7" t="s">
        <v>80</v>
      </c>
      <c r="C30" s="8" t="s">
        <v>81</v>
      </c>
      <c r="D30" s="8" t="s">
        <v>41</v>
      </c>
      <c r="E30" s="8" t="s">
        <v>82</v>
      </c>
      <c r="F30" s="8" t="s">
        <v>43</v>
      </c>
      <c r="G30" s="8" t="s">
        <v>83</v>
      </c>
      <c r="H30" s="8" t="s">
        <v>38</v>
      </c>
      <c r="I30" s="8" t="s">
        <v>84</v>
      </c>
      <c r="J30" s="8" t="s">
        <v>85</v>
      </c>
      <c r="K30" s="8" t="s">
        <v>67</v>
      </c>
      <c r="L30" s="9">
        <v>1379400</v>
      </c>
      <c r="M30" s="9">
        <f>0-N30</f>
        <v>0</v>
      </c>
      <c r="N30" s="9">
        <v>0</v>
      </c>
      <c r="O30" s="10">
        <f t="shared" ref="O30:O69" si="4">L30+M30-N30</f>
        <v>1379400</v>
      </c>
      <c r="P30" s="9">
        <v>380000</v>
      </c>
      <c r="Q30" s="9">
        <v>0</v>
      </c>
      <c r="R30" s="9">
        <v>0</v>
      </c>
      <c r="S30" s="10"/>
      <c r="T30" s="10"/>
      <c r="U30" s="10"/>
      <c r="V30" s="10"/>
      <c r="W30" s="10"/>
      <c r="X30" s="10"/>
      <c r="Y30" s="1"/>
      <c r="Z30" s="1"/>
    </row>
    <row r="31" spans="1:26" ht="56.25" customHeight="1">
      <c r="A31" s="1"/>
      <c r="B31" s="7" t="s">
        <v>80</v>
      </c>
      <c r="C31" s="8" t="s">
        <v>81</v>
      </c>
      <c r="D31" s="8" t="s">
        <v>41</v>
      </c>
      <c r="E31" s="8" t="s">
        <v>86</v>
      </c>
      <c r="F31" s="8" t="s">
        <v>43</v>
      </c>
      <c r="G31" s="8" t="s">
        <v>87</v>
      </c>
      <c r="H31" s="8" t="s">
        <v>38</v>
      </c>
      <c r="I31" s="8" t="s">
        <v>84</v>
      </c>
      <c r="J31" s="8" t="s">
        <v>85</v>
      </c>
      <c r="K31" s="8" t="s">
        <v>67</v>
      </c>
      <c r="L31" s="9">
        <v>5240500</v>
      </c>
      <c r="M31" s="9">
        <f>0-4737361.44</f>
        <v>-4737361.4400000004</v>
      </c>
      <c r="N31" s="9">
        <v>0</v>
      </c>
      <c r="O31" s="10">
        <f t="shared" si="4"/>
        <v>503138.55999999959</v>
      </c>
      <c r="P31" s="9">
        <v>0</v>
      </c>
      <c r="Q31" s="9">
        <v>0</v>
      </c>
      <c r="R31" s="9">
        <v>0</v>
      </c>
      <c r="S31" s="10"/>
      <c r="T31" s="10"/>
      <c r="U31" s="10"/>
      <c r="V31" s="10"/>
      <c r="W31" s="10"/>
      <c r="X31" s="10"/>
      <c r="Y31" s="1"/>
      <c r="Z31" s="1"/>
    </row>
    <row r="32" spans="1:26" ht="54.75" customHeight="1">
      <c r="A32" s="1"/>
      <c r="B32" s="14" t="s">
        <v>80</v>
      </c>
      <c r="C32" s="15" t="s">
        <v>88</v>
      </c>
      <c r="D32" s="15" t="s">
        <v>41</v>
      </c>
      <c r="E32" s="15" t="s">
        <v>89</v>
      </c>
      <c r="F32" s="8" t="s">
        <v>43</v>
      </c>
      <c r="G32" s="15" t="s">
        <v>87</v>
      </c>
      <c r="H32" s="15" t="s">
        <v>38</v>
      </c>
      <c r="I32" s="15" t="s">
        <v>90</v>
      </c>
      <c r="J32" s="8" t="s">
        <v>85</v>
      </c>
      <c r="K32" s="15" t="s">
        <v>67</v>
      </c>
      <c r="L32" s="9">
        <v>0</v>
      </c>
      <c r="M32" s="9">
        <f>1356170.79-306393</f>
        <v>1049777.79</v>
      </c>
      <c r="N32" s="9">
        <v>0</v>
      </c>
      <c r="O32" s="10">
        <f t="shared" si="4"/>
        <v>1049777.79</v>
      </c>
      <c r="P32" s="9">
        <v>699270.34</v>
      </c>
      <c r="Q32" s="9">
        <v>251879.35</v>
      </c>
      <c r="R32" s="9">
        <v>251879.35</v>
      </c>
      <c r="S32" s="10"/>
      <c r="T32" s="10"/>
      <c r="U32" s="10"/>
      <c r="V32" s="10"/>
      <c r="W32" s="10"/>
      <c r="X32" s="10"/>
      <c r="Y32" s="1"/>
      <c r="Z32" s="1"/>
    </row>
    <row r="33" spans="1:26" ht="76.5">
      <c r="A33" s="1"/>
      <c r="B33" s="7" t="s">
        <v>80</v>
      </c>
      <c r="C33" s="8" t="s">
        <v>81</v>
      </c>
      <c r="D33" s="8" t="s">
        <v>41</v>
      </c>
      <c r="E33" s="8" t="s">
        <v>91</v>
      </c>
      <c r="F33" s="8" t="s">
        <v>43</v>
      </c>
      <c r="G33" s="8" t="s">
        <v>87</v>
      </c>
      <c r="H33" s="8" t="s">
        <v>38</v>
      </c>
      <c r="I33" s="8" t="s">
        <v>84</v>
      </c>
      <c r="J33" s="8" t="s">
        <v>85</v>
      </c>
      <c r="K33" s="8" t="s">
        <v>67</v>
      </c>
      <c r="L33" s="9">
        <v>0</v>
      </c>
      <c r="M33" s="9">
        <f>1213295.44-0</f>
        <v>1213295.44</v>
      </c>
      <c r="N33" s="9">
        <v>0</v>
      </c>
      <c r="O33" s="10">
        <f t="shared" si="4"/>
        <v>1213295.44</v>
      </c>
      <c r="P33" s="9">
        <v>1213295.44</v>
      </c>
      <c r="Q33" s="9">
        <v>1199096.82</v>
      </c>
      <c r="R33" s="9">
        <v>1199096.82</v>
      </c>
      <c r="S33" s="10"/>
      <c r="T33" s="10"/>
      <c r="U33" s="10"/>
      <c r="V33" s="10"/>
      <c r="W33" s="10"/>
      <c r="X33" s="10"/>
      <c r="Y33" s="1"/>
      <c r="Z33" s="1"/>
    </row>
    <row r="34" spans="1:26" ht="76.5">
      <c r="A34" s="1"/>
      <c r="B34" s="14" t="s">
        <v>80</v>
      </c>
      <c r="C34" s="15" t="s">
        <v>81</v>
      </c>
      <c r="D34" s="15" t="s">
        <v>41</v>
      </c>
      <c r="E34" s="15" t="s">
        <v>92</v>
      </c>
      <c r="F34" s="8" t="s">
        <v>43</v>
      </c>
      <c r="G34" s="8" t="s">
        <v>87</v>
      </c>
      <c r="H34" s="15" t="s">
        <v>38</v>
      </c>
      <c r="I34" s="15" t="s">
        <v>90</v>
      </c>
      <c r="J34" s="8" t="s">
        <v>85</v>
      </c>
      <c r="K34" s="15" t="s">
        <v>67</v>
      </c>
      <c r="L34" s="9">
        <v>0</v>
      </c>
      <c r="M34" s="9">
        <f>3279107-1146028.79</f>
        <v>2133078.21</v>
      </c>
      <c r="N34" s="9">
        <v>0</v>
      </c>
      <c r="O34" s="10">
        <f t="shared" si="4"/>
        <v>2133078.21</v>
      </c>
      <c r="P34" s="9">
        <v>1134955.31</v>
      </c>
      <c r="Q34" s="9">
        <v>224987.81</v>
      </c>
      <c r="R34" s="9">
        <v>224987.81</v>
      </c>
      <c r="S34" s="10"/>
      <c r="T34" s="10"/>
      <c r="U34" s="10"/>
      <c r="V34" s="10"/>
      <c r="W34" s="10"/>
      <c r="X34" s="10"/>
      <c r="Y34" s="1"/>
      <c r="Z34" s="1"/>
    </row>
    <row r="35" spans="1:26" ht="76.5">
      <c r="A35" s="1"/>
      <c r="B35" s="14" t="s">
        <v>80</v>
      </c>
      <c r="C35" s="15" t="s">
        <v>81</v>
      </c>
      <c r="D35" s="15" t="s">
        <v>41</v>
      </c>
      <c r="E35" s="15" t="s">
        <v>93</v>
      </c>
      <c r="F35" s="8" t="s">
        <v>43</v>
      </c>
      <c r="G35" s="8" t="s">
        <v>87</v>
      </c>
      <c r="H35" s="15" t="s">
        <v>38</v>
      </c>
      <c r="I35" s="15" t="s">
        <v>90</v>
      </c>
      <c r="J35" s="8" t="s">
        <v>85</v>
      </c>
      <c r="K35" s="15" t="s">
        <v>67</v>
      </c>
      <c r="L35" s="9">
        <v>0</v>
      </c>
      <c r="M35" s="9">
        <f>306393-0</f>
        <v>306393</v>
      </c>
      <c r="N35" s="9">
        <v>0</v>
      </c>
      <c r="O35" s="10">
        <f t="shared" si="4"/>
        <v>306393</v>
      </c>
      <c r="P35" s="9">
        <v>0</v>
      </c>
      <c r="Q35" s="9">
        <v>0</v>
      </c>
      <c r="R35" s="9">
        <v>0</v>
      </c>
      <c r="S35" s="10"/>
      <c r="T35" s="10"/>
      <c r="U35" s="10"/>
      <c r="V35" s="10"/>
      <c r="W35" s="10"/>
      <c r="X35" s="10"/>
      <c r="Y35" s="1"/>
      <c r="Z35" s="1"/>
    </row>
    <row r="36" spans="1:26" ht="76.5">
      <c r="A36" s="1"/>
      <c r="B36" s="7" t="s">
        <v>80</v>
      </c>
      <c r="C36" s="8" t="s">
        <v>81</v>
      </c>
      <c r="D36" s="8" t="s">
        <v>41</v>
      </c>
      <c r="E36" s="8" t="s">
        <v>94</v>
      </c>
      <c r="F36" s="8" t="s">
        <v>43</v>
      </c>
      <c r="G36" s="8" t="s">
        <v>87</v>
      </c>
      <c r="H36" s="8" t="s">
        <v>38</v>
      </c>
      <c r="I36" s="8" t="s">
        <v>84</v>
      </c>
      <c r="J36" s="8" t="s">
        <v>85</v>
      </c>
      <c r="K36" s="8" t="s">
        <v>67</v>
      </c>
      <c r="L36" s="9">
        <v>0</v>
      </c>
      <c r="M36" s="9">
        <f>449787.42-0</f>
        <v>449787.42</v>
      </c>
      <c r="N36" s="9">
        <v>0</v>
      </c>
      <c r="O36" s="10">
        <f t="shared" si="4"/>
        <v>449787.42</v>
      </c>
      <c r="P36" s="9">
        <v>349787.45</v>
      </c>
      <c r="Q36" s="9">
        <v>349787.45</v>
      </c>
      <c r="R36" s="9">
        <v>349787.45</v>
      </c>
      <c r="S36" s="10"/>
      <c r="T36" s="10"/>
      <c r="U36" s="10"/>
      <c r="V36" s="10"/>
      <c r="W36" s="10"/>
      <c r="X36" s="10"/>
      <c r="Y36" s="1"/>
      <c r="Z36" s="1"/>
    </row>
    <row r="37" spans="1:26" ht="76.5">
      <c r="A37" s="1"/>
      <c r="B37" s="7" t="s">
        <v>80</v>
      </c>
      <c r="C37" s="8" t="s">
        <v>81</v>
      </c>
      <c r="D37" s="8" t="s">
        <v>41</v>
      </c>
      <c r="E37" s="8" t="s">
        <v>94</v>
      </c>
      <c r="F37" s="8" t="s">
        <v>43</v>
      </c>
      <c r="G37" s="8" t="s">
        <v>87</v>
      </c>
      <c r="H37" s="8" t="s">
        <v>38</v>
      </c>
      <c r="I37" s="15" t="s">
        <v>90</v>
      </c>
      <c r="J37" s="8" t="s">
        <v>85</v>
      </c>
      <c r="K37" s="8" t="s">
        <v>67</v>
      </c>
      <c r="L37" s="9">
        <v>0</v>
      </c>
      <c r="M37" s="9">
        <f>564503-0</f>
        <v>564503</v>
      </c>
      <c r="N37" s="9">
        <v>0</v>
      </c>
      <c r="O37" s="10">
        <f t="shared" si="4"/>
        <v>564503</v>
      </c>
      <c r="P37" s="9">
        <v>0</v>
      </c>
      <c r="Q37" s="9">
        <v>0</v>
      </c>
      <c r="R37" s="9">
        <v>0</v>
      </c>
      <c r="S37" s="10"/>
      <c r="T37" s="10"/>
      <c r="U37" s="10"/>
      <c r="V37" s="10"/>
      <c r="W37" s="10"/>
      <c r="X37" s="10"/>
      <c r="Y37" s="1"/>
      <c r="Z37" s="1"/>
    </row>
    <row r="38" spans="1:26" ht="76.5">
      <c r="A38" s="1"/>
      <c r="B38" s="14" t="s">
        <v>80</v>
      </c>
      <c r="C38" s="15" t="s">
        <v>81</v>
      </c>
      <c r="D38" s="15" t="s">
        <v>41</v>
      </c>
      <c r="E38" s="15" t="s">
        <v>95</v>
      </c>
      <c r="F38" s="8" t="s">
        <v>43</v>
      </c>
      <c r="G38" s="8" t="s">
        <v>87</v>
      </c>
      <c r="H38" s="15" t="s">
        <v>38</v>
      </c>
      <c r="I38" s="15" t="s">
        <v>90</v>
      </c>
      <c r="J38" s="8" t="s">
        <v>85</v>
      </c>
      <c r="K38" s="15" t="s">
        <v>67</v>
      </c>
      <c r="L38" s="9">
        <v>0</v>
      </c>
      <c r="M38" s="9">
        <f>951921-0</f>
        <v>951921</v>
      </c>
      <c r="N38" s="9">
        <v>0</v>
      </c>
      <c r="O38" s="10">
        <f t="shared" si="4"/>
        <v>951921</v>
      </c>
      <c r="P38" s="9">
        <v>231999.47</v>
      </c>
      <c r="Q38" s="9">
        <v>0</v>
      </c>
      <c r="R38" s="9">
        <v>0</v>
      </c>
      <c r="S38" s="10"/>
      <c r="T38" s="10"/>
      <c r="U38" s="10"/>
      <c r="V38" s="10"/>
      <c r="W38" s="10"/>
      <c r="X38" s="10"/>
      <c r="Y38" s="1"/>
      <c r="Z38" s="1"/>
    </row>
    <row r="39" spans="1:26" ht="76.5">
      <c r="A39" s="1"/>
      <c r="B39" s="14" t="s">
        <v>80</v>
      </c>
      <c r="C39" s="15" t="s">
        <v>81</v>
      </c>
      <c r="D39" s="15" t="s">
        <v>41</v>
      </c>
      <c r="E39" s="15" t="s">
        <v>96</v>
      </c>
      <c r="F39" s="8" t="s">
        <v>43</v>
      </c>
      <c r="G39" s="8" t="s">
        <v>87</v>
      </c>
      <c r="H39" s="15" t="s">
        <v>38</v>
      </c>
      <c r="I39" s="15" t="s">
        <v>90</v>
      </c>
      <c r="J39" s="8" t="s">
        <v>85</v>
      </c>
      <c r="K39" s="15" t="s">
        <v>67</v>
      </c>
      <c r="L39" s="9">
        <v>0</v>
      </c>
      <c r="M39" s="9">
        <f>637352-0</f>
        <v>637352</v>
      </c>
      <c r="N39" s="9">
        <v>0</v>
      </c>
      <c r="O39" s="10">
        <f t="shared" si="4"/>
        <v>637352</v>
      </c>
      <c r="P39" s="9">
        <v>327902.63</v>
      </c>
      <c r="Q39" s="9">
        <v>0</v>
      </c>
      <c r="R39" s="9">
        <v>0</v>
      </c>
      <c r="S39" s="10"/>
      <c r="T39" s="10"/>
      <c r="U39" s="10"/>
      <c r="V39" s="10"/>
      <c r="W39" s="10"/>
      <c r="X39" s="10"/>
      <c r="Y39" s="1"/>
      <c r="Z39" s="1"/>
    </row>
    <row r="40" spans="1:26" ht="76.5">
      <c r="A40" s="1"/>
      <c r="B40" s="7" t="s">
        <v>80</v>
      </c>
      <c r="C40" s="8" t="s">
        <v>81</v>
      </c>
      <c r="D40" s="8" t="s">
        <v>41</v>
      </c>
      <c r="E40" s="8" t="s">
        <v>97</v>
      </c>
      <c r="F40" s="8" t="s">
        <v>43</v>
      </c>
      <c r="G40" s="8" t="s">
        <v>87</v>
      </c>
      <c r="H40" s="8" t="s">
        <v>38</v>
      </c>
      <c r="I40" s="8" t="s">
        <v>84</v>
      </c>
      <c r="J40" s="8" t="s">
        <v>85</v>
      </c>
      <c r="K40" s="8" t="s">
        <v>67</v>
      </c>
      <c r="L40" s="9">
        <v>0</v>
      </c>
      <c r="M40" s="9">
        <f>15348106.78-0</f>
        <v>15348106.779999999</v>
      </c>
      <c r="N40" s="9">
        <v>0</v>
      </c>
      <c r="O40" s="10">
        <f t="shared" si="4"/>
        <v>15348106.779999999</v>
      </c>
      <c r="P40" s="9">
        <v>15276384.029999999</v>
      </c>
      <c r="Q40" s="9">
        <v>11682957.960000001</v>
      </c>
      <c r="R40" s="9">
        <v>11682957.960000001</v>
      </c>
      <c r="S40" s="10"/>
      <c r="T40" s="10"/>
      <c r="U40" s="10"/>
      <c r="V40" s="10"/>
      <c r="W40" s="10"/>
      <c r="X40" s="10"/>
      <c r="Y40" s="1"/>
      <c r="Z40" s="1"/>
    </row>
    <row r="41" spans="1:26" ht="76.5">
      <c r="A41" s="1"/>
      <c r="B41" s="7" t="s">
        <v>80</v>
      </c>
      <c r="C41" s="8" t="s">
        <v>81</v>
      </c>
      <c r="D41" s="8" t="s">
        <v>41</v>
      </c>
      <c r="E41" s="8" t="s">
        <v>97</v>
      </c>
      <c r="F41" s="8" t="s">
        <v>43</v>
      </c>
      <c r="G41" s="8" t="s">
        <v>87</v>
      </c>
      <c r="H41" s="8" t="s">
        <v>38</v>
      </c>
      <c r="I41" s="8" t="s">
        <v>90</v>
      </c>
      <c r="J41" s="8" t="s">
        <v>85</v>
      </c>
      <c r="K41" s="8" t="s">
        <v>67</v>
      </c>
      <c r="L41" s="9">
        <v>0</v>
      </c>
      <c r="M41" s="9">
        <f>1181592.93-0</f>
        <v>1181592.93</v>
      </c>
      <c r="N41" s="9">
        <v>0</v>
      </c>
      <c r="O41" s="10">
        <f t="shared" si="4"/>
        <v>1181592.93</v>
      </c>
      <c r="P41" s="9">
        <v>225152.48</v>
      </c>
      <c r="Q41" s="9">
        <v>0</v>
      </c>
      <c r="R41" s="9">
        <v>0</v>
      </c>
      <c r="S41" s="10"/>
      <c r="T41" s="10"/>
      <c r="U41" s="10"/>
      <c r="V41" s="10"/>
      <c r="W41" s="10"/>
      <c r="X41" s="10"/>
      <c r="Y41" s="1"/>
      <c r="Z41" s="1"/>
    </row>
    <row r="42" spans="1:26" ht="60.75" customHeight="1">
      <c r="A42" s="1"/>
      <c r="B42" s="7" t="s">
        <v>80</v>
      </c>
      <c r="C42" s="8" t="s">
        <v>81</v>
      </c>
      <c r="D42" s="8" t="s">
        <v>41</v>
      </c>
      <c r="E42" s="8" t="s">
        <v>42</v>
      </c>
      <c r="F42" s="8" t="s">
        <v>43</v>
      </c>
      <c r="G42" s="8" t="s">
        <v>44</v>
      </c>
      <c r="H42" s="8" t="s">
        <v>38</v>
      </c>
      <c r="I42" s="8" t="s">
        <v>84</v>
      </c>
      <c r="J42" s="8" t="s">
        <v>85</v>
      </c>
      <c r="K42" s="8" t="s">
        <v>45</v>
      </c>
      <c r="L42" s="10">
        <f>162737000-2400000</f>
        <v>160337000</v>
      </c>
      <c r="M42" s="10">
        <f>21824101.86-1435502.2-47571509.88</f>
        <v>-27182910.220000003</v>
      </c>
      <c r="N42" s="9">
        <v>0</v>
      </c>
      <c r="O42" s="10">
        <f t="shared" si="4"/>
        <v>133154089.78</v>
      </c>
      <c r="P42" s="10">
        <f>93936287.02-2683867.24</f>
        <v>91252419.780000001</v>
      </c>
      <c r="Q42" s="10">
        <f>84944112.73-1738574.56</f>
        <v>83205538.170000002</v>
      </c>
      <c r="R42" s="10">
        <f>84624537.28-1738574.56</f>
        <v>82885962.719999999</v>
      </c>
      <c r="S42" s="10"/>
      <c r="T42" s="10"/>
      <c r="U42" s="10"/>
      <c r="V42" s="10"/>
      <c r="W42" s="10"/>
      <c r="X42" s="10"/>
      <c r="Y42" s="1"/>
      <c r="Z42" s="1"/>
    </row>
    <row r="43" spans="1:26" ht="57.75" customHeight="1">
      <c r="A43" s="1"/>
      <c r="B43" s="7" t="s">
        <v>80</v>
      </c>
      <c r="C43" s="8" t="s">
        <v>81</v>
      </c>
      <c r="D43" s="8" t="s">
        <v>41</v>
      </c>
      <c r="E43" s="8" t="s">
        <v>42</v>
      </c>
      <c r="F43" s="8" t="s">
        <v>43</v>
      </c>
      <c r="G43" s="8" t="s">
        <v>44</v>
      </c>
      <c r="H43" s="8" t="s">
        <v>38</v>
      </c>
      <c r="I43" s="8" t="s">
        <v>84</v>
      </c>
      <c r="J43" s="8" t="s">
        <v>85</v>
      </c>
      <c r="K43" s="8" t="s">
        <v>67</v>
      </c>
      <c r="L43" s="10">
        <f>2400000</f>
        <v>2400000</v>
      </c>
      <c r="M43" s="10">
        <f>1383523+51979.2-51979.2</f>
        <v>1383523</v>
      </c>
      <c r="N43" s="9">
        <v>0</v>
      </c>
      <c r="O43" s="10">
        <f t="shared" si="4"/>
        <v>3783523</v>
      </c>
      <c r="P43" s="10">
        <f>108.97+100768.16+221025+4494+605044.65+15550+309206.24+6599.98+56015+1308576.04+4500+51979.2</f>
        <v>2683867.2400000002</v>
      </c>
      <c r="Q43" s="10">
        <f t="shared" ref="Q43:R43" si="5">108.97+176670+4464+605044.65+15550+268400.24+611857.5+4500+51979.2</f>
        <v>1738574.5599999998</v>
      </c>
      <c r="R43" s="10">
        <f t="shared" si="5"/>
        <v>1738574.5599999998</v>
      </c>
      <c r="S43" s="10"/>
      <c r="T43" s="10"/>
      <c r="U43" s="10"/>
      <c r="V43" s="10"/>
      <c r="W43" s="10"/>
      <c r="X43" s="10"/>
      <c r="Y43" s="1"/>
      <c r="Z43" s="1"/>
    </row>
    <row r="44" spans="1:26" ht="57.75" customHeight="1">
      <c r="A44" s="1"/>
      <c r="B44" s="7" t="s">
        <v>80</v>
      </c>
      <c r="C44" s="8" t="s">
        <v>81</v>
      </c>
      <c r="D44" s="8" t="s">
        <v>41</v>
      </c>
      <c r="E44" s="8" t="s">
        <v>42</v>
      </c>
      <c r="F44" s="8" t="s">
        <v>43</v>
      </c>
      <c r="G44" s="8" t="s">
        <v>44</v>
      </c>
      <c r="H44" s="8" t="s">
        <v>38</v>
      </c>
      <c r="I44" s="8" t="s">
        <v>90</v>
      </c>
      <c r="J44" s="8" t="s">
        <v>85</v>
      </c>
      <c r="K44" s="8" t="s">
        <v>45</v>
      </c>
      <c r="L44" s="9">
        <v>0</v>
      </c>
      <c r="M44" s="9">
        <f>19745650.06-582000</f>
        <v>19163650.059999999</v>
      </c>
      <c r="N44" s="9">
        <v>0</v>
      </c>
      <c r="O44" s="10">
        <f t="shared" si="4"/>
        <v>19163650.059999999</v>
      </c>
      <c r="P44" s="9">
        <v>13499402.26</v>
      </c>
      <c r="Q44" s="9">
        <v>7998972.6100000003</v>
      </c>
      <c r="R44" s="9">
        <v>7998972.6100000003</v>
      </c>
      <c r="S44" s="10"/>
      <c r="T44" s="10"/>
      <c r="U44" s="10"/>
      <c r="V44" s="10"/>
      <c r="W44" s="10"/>
      <c r="X44" s="10"/>
      <c r="Y44" s="1"/>
      <c r="Z44" s="1"/>
    </row>
    <row r="45" spans="1:26" ht="63.75">
      <c r="A45" s="1"/>
      <c r="B45" s="7" t="s">
        <v>80</v>
      </c>
      <c r="C45" s="8" t="s">
        <v>81</v>
      </c>
      <c r="D45" s="8" t="s">
        <v>41</v>
      </c>
      <c r="E45" s="8" t="s">
        <v>46</v>
      </c>
      <c r="F45" s="8" t="s">
        <v>43</v>
      </c>
      <c r="G45" s="8" t="s">
        <v>98</v>
      </c>
      <c r="H45" s="8" t="s">
        <v>38</v>
      </c>
      <c r="I45" s="8" t="s">
        <v>84</v>
      </c>
      <c r="J45" s="8" t="s">
        <v>85</v>
      </c>
      <c r="K45" s="8" t="s">
        <v>45</v>
      </c>
      <c r="L45" s="9">
        <v>100000</v>
      </c>
      <c r="M45" s="9">
        <f>0-100000</f>
        <v>-100000</v>
      </c>
      <c r="N45" s="9">
        <v>0</v>
      </c>
      <c r="O45" s="10">
        <f t="shared" si="4"/>
        <v>0</v>
      </c>
      <c r="P45" s="9">
        <v>0</v>
      </c>
      <c r="Q45" s="9">
        <v>0</v>
      </c>
      <c r="R45" s="9">
        <v>0</v>
      </c>
      <c r="S45" s="10"/>
      <c r="T45" s="10"/>
      <c r="U45" s="10"/>
      <c r="V45" s="10"/>
      <c r="W45" s="10"/>
      <c r="X45" s="10"/>
      <c r="Y45" s="1"/>
      <c r="Z45" s="1"/>
    </row>
    <row r="46" spans="1:26" ht="63.75">
      <c r="A46" s="1"/>
      <c r="B46" s="7" t="s">
        <v>80</v>
      </c>
      <c r="C46" s="8" t="s">
        <v>81</v>
      </c>
      <c r="D46" s="8" t="s">
        <v>41</v>
      </c>
      <c r="E46" s="8" t="s">
        <v>46</v>
      </c>
      <c r="F46" s="8" t="s">
        <v>43</v>
      </c>
      <c r="G46" s="8" t="s">
        <v>98</v>
      </c>
      <c r="H46" s="8" t="s">
        <v>38</v>
      </c>
      <c r="I46" s="8" t="s">
        <v>90</v>
      </c>
      <c r="J46" s="8" t="s">
        <v>85</v>
      </c>
      <c r="K46" s="8" t="s">
        <v>45</v>
      </c>
      <c r="L46" s="9">
        <v>0</v>
      </c>
      <c r="M46" s="9">
        <f>19963875.03</f>
        <v>19963875.030000001</v>
      </c>
      <c r="N46" s="9">
        <v>0</v>
      </c>
      <c r="O46" s="10">
        <f t="shared" si="4"/>
        <v>19963875.030000001</v>
      </c>
      <c r="P46" s="9">
        <v>19747840.739999998</v>
      </c>
      <c r="Q46" s="9">
        <v>19747840.739999998</v>
      </c>
      <c r="R46" s="9">
        <v>19747840.739999998</v>
      </c>
      <c r="S46" s="10"/>
      <c r="T46" s="10"/>
      <c r="U46" s="10"/>
      <c r="V46" s="10"/>
      <c r="W46" s="10"/>
      <c r="X46" s="10"/>
      <c r="Y46" s="1"/>
      <c r="Z46" s="1"/>
    </row>
    <row r="47" spans="1:26" ht="76.5">
      <c r="A47" s="1"/>
      <c r="B47" s="7" t="s">
        <v>80</v>
      </c>
      <c r="C47" s="8" t="s">
        <v>81</v>
      </c>
      <c r="D47" s="8" t="s">
        <v>99</v>
      </c>
      <c r="E47" s="8" t="s">
        <v>100</v>
      </c>
      <c r="F47" s="8" t="s">
        <v>43</v>
      </c>
      <c r="G47" s="8" t="s">
        <v>101</v>
      </c>
      <c r="H47" s="8" t="s">
        <v>38</v>
      </c>
      <c r="I47" s="8" t="s">
        <v>84</v>
      </c>
      <c r="J47" s="8" t="s">
        <v>85</v>
      </c>
      <c r="K47" s="8" t="s">
        <v>45</v>
      </c>
      <c r="L47" s="10">
        <f>27694385-9057600</f>
        <v>18636785</v>
      </c>
      <c r="M47" s="10">
        <f>12097656.65-5962339.65-159000</f>
        <v>5976317</v>
      </c>
      <c r="N47" s="9">
        <v>0</v>
      </c>
      <c r="O47" s="10">
        <f t="shared" si="4"/>
        <v>24613102</v>
      </c>
      <c r="P47" s="10">
        <f>32100908.52-11328223.36</f>
        <v>20772685.16</v>
      </c>
      <c r="Q47" s="10">
        <f t="shared" ref="Q47:R47" si="6">28279145.45-9973588.07</f>
        <v>18305557.379999999</v>
      </c>
      <c r="R47" s="10">
        <f t="shared" si="6"/>
        <v>18305557.379999999</v>
      </c>
      <c r="S47" s="10"/>
      <c r="T47" s="10"/>
      <c r="U47" s="10"/>
      <c r="V47" s="10"/>
      <c r="W47" s="10"/>
      <c r="X47" s="10"/>
      <c r="Y47" s="1"/>
      <c r="Z47" s="1"/>
    </row>
    <row r="48" spans="1:26" ht="76.5">
      <c r="A48" s="1"/>
      <c r="B48" s="7" t="s">
        <v>80</v>
      </c>
      <c r="C48" s="8" t="s">
        <v>81</v>
      </c>
      <c r="D48" s="8" t="s">
        <v>99</v>
      </c>
      <c r="E48" s="8" t="s">
        <v>100</v>
      </c>
      <c r="F48" s="8" t="s">
        <v>43</v>
      </c>
      <c r="G48" s="8" t="s">
        <v>101</v>
      </c>
      <c r="H48" s="8" t="s">
        <v>38</v>
      </c>
      <c r="I48" s="8" t="s">
        <v>84</v>
      </c>
      <c r="J48" s="8" t="s">
        <v>85</v>
      </c>
      <c r="K48" s="8" t="s">
        <v>67</v>
      </c>
      <c r="L48" s="10">
        <f>4997500+4060100</f>
        <v>9057600</v>
      </c>
      <c r="M48" s="10">
        <f>1848904.95+4113434.7-75904.95</f>
        <v>5886434.7000000002</v>
      </c>
      <c r="N48" s="9">
        <v>0</v>
      </c>
      <c r="O48" s="10">
        <f t="shared" si="4"/>
        <v>14944034.699999999</v>
      </c>
      <c r="P48" s="10">
        <f>1731155.82+1591984.62+2018433.92+7450+5979199</f>
        <v>11328223.359999999</v>
      </c>
      <c r="Q48" s="10">
        <f t="shared" ref="Q48:R48" si="7">762487.34+1470567.04+1753884.69+7450+5979199</f>
        <v>9973588.0700000003</v>
      </c>
      <c r="R48" s="10">
        <f t="shared" si="7"/>
        <v>9973588.0700000003</v>
      </c>
      <c r="S48" s="10"/>
      <c r="T48" s="10"/>
      <c r="U48" s="10"/>
      <c r="V48" s="10"/>
      <c r="W48" s="10"/>
      <c r="X48" s="10"/>
      <c r="Y48" s="1"/>
      <c r="Z48" s="1"/>
    </row>
    <row r="49" spans="1:26" ht="76.5">
      <c r="A49" s="1"/>
      <c r="B49" s="7" t="s">
        <v>80</v>
      </c>
      <c r="C49" s="8" t="s">
        <v>81</v>
      </c>
      <c r="D49" s="8" t="s">
        <v>99</v>
      </c>
      <c r="E49" s="8" t="s">
        <v>100</v>
      </c>
      <c r="F49" s="8" t="s">
        <v>43</v>
      </c>
      <c r="G49" s="8" t="s">
        <v>101</v>
      </c>
      <c r="H49" s="8" t="s">
        <v>38</v>
      </c>
      <c r="I49" s="8" t="s">
        <v>90</v>
      </c>
      <c r="J49" s="8" t="s">
        <v>85</v>
      </c>
      <c r="K49" s="8" t="s">
        <v>45</v>
      </c>
      <c r="L49" s="9">
        <v>0</v>
      </c>
      <c r="M49" s="10">
        <f>11973938-3273350-0</f>
        <v>8700588</v>
      </c>
      <c r="N49" s="10">
        <f>0</f>
        <v>0</v>
      </c>
      <c r="O49" s="10">
        <f t="shared" si="4"/>
        <v>8700588</v>
      </c>
      <c r="P49" s="10">
        <f>11973936.38-3273350</f>
        <v>8700586.3800000008</v>
      </c>
      <c r="Q49" s="10">
        <f t="shared" ref="Q49:R49" si="8">3384893.84-2971350</f>
        <v>413543.83999999985</v>
      </c>
      <c r="R49" s="10">
        <f t="shared" si="8"/>
        <v>413543.83999999985</v>
      </c>
      <c r="S49" s="10"/>
      <c r="T49" s="10"/>
      <c r="U49" s="10"/>
      <c r="V49" s="10"/>
      <c r="W49" s="10"/>
      <c r="X49" s="10"/>
      <c r="Y49" s="1"/>
      <c r="Z49" s="1"/>
    </row>
    <row r="50" spans="1:26" ht="76.5">
      <c r="A50" s="1"/>
      <c r="B50" s="7" t="s">
        <v>80</v>
      </c>
      <c r="C50" s="8" t="s">
        <v>81</v>
      </c>
      <c r="D50" s="8" t="s">
        <v>99</v>
      </c>
      <c r="E50" s="8" t="s">
        <v>100</v>
      </c>
      <c r="F50" s="8" t="s">
        <v>43</v>
      </c>
      <c r="G50" s="8" t="s">
        <v>101</v>
      </c>
      <c r="H50" s="8" t="s">
        <v>38</v>
      </c>
      <c r="I50" s="8" t="s">
        <v>90</v>
      </c>
      <c r="J50" s="8" t="s">
        <v>85</v>
      </c>
      <c r="K50" s="8" t="s">
        <v>67</v>
      </c>
      <c r="L50" s="9">
        <v>0</v>
      </c>
      <c r="M50" s="10">
        <f>2971350+302000-0</f>
        <v>3273350</v>
      </c>
      <c r="N50" s="9">
        <v>0</v>
      </c>
      <c r="O50" s="10">
        <f t="shared" si="4"/>
        <v>3273350</v>
      </c>
      <c r="P50" s="10">
        <f>2971350+302000</f>
        <v>3273350</v>
      </c>
      <c r="Q50" s="10">
        <f>2971350</f>
        <v>2971350</v>
      </c>
      <c r="R50" s="9">
        <v>2971350</v>
      </c>
      <c r="S50" s="10"/>
      <c r="T50" s="10"/>
      <c r="U50" s="10"/>
      <c r="V50" s="10"/>
      <c r="W50" s="10"/>
      <c r="X50" s="10"/>
      <c r="Y50" s="1"/>
      <c r="Z50" s="1"/>
    </row>
    <row r="51" spans="1:26" ht="60.75" customHeight="1">
      <c r="A51" s="1"/>
      <c r="B51" s="7" t="s">
        <v>80</v>
      </c>
      <c r="C51" s="8" t="s">
        <v>81</v>
      </c>
      <c r="D51" s="8" t="s">
        <v>41</v>
      </c>
      <c r="E51" s="8" t="s">
        <v>102</v>
      </c>
      <c r="F51" s="8" t="s">
        <v>51</v>
      </c>
      <c r="G51" s="8" t="s">
        <v>103</v>
      </c>
      <c r="H51" s="8" t="s">
        <v>38</v>
      </c>
      <c r="I51" s="8" t="s">
        <v>84</v>
      </c>
      <c r="J51" s="8" t="s">
        <v>85</v>
      </c>
      <c r="K51" s="8" t="s">
        <v>67</v>
      </c>
      <c r="L51" s="9">
        <v>120600</v>
      </c>
      <c r="M51" s="9">
        <f>0</f>
        <v>0</v>
      </c>
      <c r="N51" s="9">
        <v>0</v>
      </c>
      <c r="O51" s="10">
        <f t="shared" si="4"/>
        <v>120600</v>
      </c>
      <c r="P51" s="10"/>
      <c r="Q51" s="10"/>
      <c r="R51" s="10"/>
      <c r="S51" s="9">
        <v>0</v>
      </c>
      <c r="T51" s="9">
        <v>0</v>
      </c>
      <c r="U51" s="9">
        <v>0</v>
      </c>
      <c r="V51" s="10"/>
      <c r="W51" s="10"/>
      <c r="X51" s="10"/>
      <c r="Y51" s="1"/>
      <c r="Z51" s="1"/>
    </row>
    <row r="52" spans="1:26" ht="60.75" customHeight="1">
      <c r="A52" s="1"/>
      <c r="B52" s="7" t="s">
        <v>80</v>
      </c>
      <c r="C52" s="8" t="s">
        <v>81</v>
      </c>
      <c r="D52" s="8" t="s">
        <v>41</v>
      </c>
      <c r="E52" s="15" t="s">
        <v>104</v>
      </c>
      <c r="F52" s="8" t="s">
        <v>51</v>
      </c>
      <c r="G52" s="15" t="s">
        <v>105</v>
      </c>
      <c r="H52" s="8" t="s">
        <v>38</v>
      </c>
      <c r="I52" s="15" t="s">
        <v>84</v>
      </c>
      <c r="J52" s="8" t="s">
        <v>85</v>
      </c>
      <c r="K52" s="8" t="s">
        <v>45</v>
      </c>
      <c r="L52" s="9">
        <v>500000</v>
      </c>
      <c r="M52" s="9">
        <f>600000-0</f>
        <v>600000</v>
      </c>
      <c r="N52" s="9">
        <v>0</v>
      </c>
      <c r="O52" s="10">
        <f t="shared" si="4"/>
        <v>1100000</v>
      </c>
      <c r="P52" s="10"/>
      <c r="Q52" s="10"/>
      <c r="R52" s="10"/>
      <c r="S52" s="9">
        <v>1100000</v>
      </c>
      <c r="T52" s="9">
        <v>954500</v>
      </c>
      <c r="U52" s="9">
        <v>954500</v>
      </c>
      <c r="V52" s="10"/>
      <c r="W52" s="10"/>
      <c r="X52" s="10"/>
      <c r="Y52" s="1"/>
      <c r="Z52" s="1"/>
    </row>
    <row r="53" spans="1:26" ht="60.75" customHeight="1">
      <c r="A53" s="1"/>
      <c r="B53" s="7" t="s">
        <v>80</v>
      </c>
      <c r="C53" s="8" t="s">
        <v>81</v>
      </c>
      <c r="D53" s="8" t="s">
        <v>41</v>
      </c>
      <c r="E53" s="8" t="s">
        <v>106</v>
      </c>
      <c r="F53" s="8" t="s">
        <v>51</v>
      </c>
      <c r="G53" s="8" t="s">
        <v>107</v>
      </c>
      <c r="H53" s="8" t="s">
        <v>38</v>
      </c>
      <c r="I53" s="8" t="s">
        <v>84</v>
      </c>
      <c r="J53" s="8" t="s">
        <v>85</v>
      </c>
      <c r="K53" s="8" t="s">
        <v>67</v>
      </c>
      <c r="L53" s="9">
        <v>1000000</v>
      </c>
      <c r="M53" s="9">
        <f>0-1000000</f>
        <v>-1000000</v>
      </c>
      <c r="N53" s="9">
        <v>0</v>
      </c>
      <c r="O53" s="10">
        <f t="shared" si="4"/>
        <v>0</v>
      </c>
      <c r="P53" s="10"/>
      <c r="Q53" s="10"/>
      <c r="R53" s="10"/>
      <c r="S53" s="9">
        <v>0</v>
      </c>
      <c r="T53" s="9">
        <v>0</v>
      </c>
      <c r="U53" s="9">
        <v>0</v>
      </c>
      <c r="V53" s="10"/>
      <c r="W53" s="10"/>
      <c r="X53" s="10"/>
      <c r="Y53" s="1"/>
      <c r="Z53" s="1"/>
    </row>
    <row r="54" spans="1:26" ht="60.75" customHeight="1">
      <c r="A54" s="1"/>
      <c r="B54" s="7" t="s">
        <v>80</v>
      </c>
      <c r="C54" s="8" t="s">
        <v>81</v>
      </c>
      <c r="D54" s="8" t="s">
        <v>41</v>
      </c>
      <c r="E54" s="8" t="s">
        <v>108</v>
      </c>
      <c r="F54" s="8" t="s">
        <v>51</v>
      </c>
      <c r="G54" s="8" t="s">
        <v>107</v>
      </c>
      <c r="H54" s="8" t="s">
        <v>38</v>
      </c>
      <c r="I54" s="8" t="s">
        <v>84</v>
      </c>
      <c r="J54" s="8" t="s">
        <v>85</v>
      </c>
      <c r="K54" s="8" t="s">
        <v>67</v>
      </c>
      <c r="L54" s="9">
        <v>0</v>
      </c>
      <c r="M54" s="9">
        <f>12602895.32-0</f>
        <v>12602895.32</v>
      </c>
      <c r="N54" s="9">
        <v>0</v>
      </c>
      <c r="O54" s="10">
        <f t="shared" si="4"/>
        <v>12602895.32</v>
      </c>
      <c r="P54" s="10"/>
      <c r="Q54" s="10"/>
      <c r="R54" s="10"/>
      <c r="S54" s="9">
        <v>8810572.1699999999</v>
      </c>
      <c r="T54" s="9">
        <v>1400492.94</v>
      </c>
      <c r="U54" s="9">
        <v>1400492.94</v>
      </c>
      <c r="V54" s="10"/>
      <c r="W54" s="10"/>
      <c r="X54" s="10"/>
      <c r="Y54" s="1"/>
      <c r="Z54" s="1"/>
    </row>
    <row r="55" spans="1:26" ht="60.75" customHeight="1">
      <c r="A55" s="1"/>
      <c r="B55" s="7" t="s">
        <v>80</v>
      </c>
      <c r="C55" s="8" t="s">
        <v>81</v>
      </c>
      <c r="D55" s="8" t="s">
        <v>41</v>
      </c>
      <c r="E55" s="8" t="s">
        <v>108</v>
      </c>
      <c r="F55" s="8" t="s">
        <v>51</v>
      </c>
      <c r="G55" s="8" t="s">
        <v>107</v>
      </c>
      <c r="H55" s="8" t="s">
        <v>38</v>
      </c>
      <c r="I55" s="8" t="s">
        <v>90</v>
      </c>
      <c r="J55" s="8" t="s">
        <v>85</v>
      </c>
      <c r="K55" s="8" t="s">
        <v>45</v>
      </c>
      <c r="L55" s="9">
        <v>0</v>
      </c>
      <c r="M55" s="9">
        <f>3316988-0</f>
        <v>3316988</v>
      </c>
      <c r="N55" s="9">
        <v>0</v>
      </c>
      <c r="O55" s="10">
        <f t="shared" si="4"/>
        <v>3316988</v>
      </c>
      <c r="P55" s="10"/>
      <c r="Q55" s="10"/>
      <c r="R55" s="10"/>
      <c r="S55" s="9">
        <v>0</v>
      </c>
      <c r="T55" s="9">
        <v>0</v>
      </c>
      <c r="U55" s="9">
        <v>0</v>
      </c>
      <c r="V55" s="10"/>
      <c r="W55" s="10"/>
      <c r="X55" s="10"/>
      <c r="Y55" s="1"/>
      <c r="Z55" s="1"/>
    </row>
    <row r="56" spans="1:26" ht="60.75" customHeight="1">
      <c r="A56" s="1"/>
      <c r="B56" s="7" t="s">
        <v>80</v>
      </c>
      <c r="C56" s="8" t="s">
        <v>81</v>
      </c>
      <c r="D56" s="8" t="s">
        <v>41</v>
      </c>
      <c r="E56" s="8" t="s">
        <v>53</v>
      </c>
      <c r="F56" s="8" t="s">
        <v>51</v>
      </c>
      <c r="G56" s="8" t="s">
        <v>54</v>
      </c>
      <c r="H56" s="8" t="s">
        <v>38</v>
      </c>
      <c r="I56" s="8" t="s">
        <v>84</v>
      </c>
      <c r="J56" s="8" t="s">
        <v>85</v>
      </c>
      <c r="K56" s="8" t="s">
        <v>45</v>
      </c>
      <c r="L56" s="10">
        <f>54121000-210000</f>
        <v>53911000</v>
      </c>
      <c r="M56" s="10">
        <f>5173416.36-10958211.36</f>
        <v>-5784794.9999999991</v>
      </c>
      <c r="N56" s="9">
        <v>0</v>
      </c>
      <c r="O56" s="10">
        <f t="shared" si="4"/>
        <v>48126205</v>
      </c>
      <c r="P56" s="10"/>
      <c r="Q56" s="10"/>
      <c r="R56" s="10"/>
      <c r="S56" s="20">
        <f>36571615.42-50930.88</f>
        <v>36520684.539999999</v>
      </c>
      <c r="T56" s="10">
        <f>34806985.7-48187.5</f>
        <v>34758798.200000003</v>
      </c>
      <c r="U56" s="10">
        <f>34700664.06-48187.5</f>
        <v>34652476.560000002</v>
      </c>
      <c r="V56" s="10"/>
      <c r="W56" s="10"/>
      <c r="X56" s="10"/>
      <c r="Y56" s="1"/>
      <c r="Z56" s="1"/>
    </row>
    <row r="57" spans="1:26" ht="60.75" customHeight="1">
      <c r="A57" s="1"/>
      <c r="B57" s="7" t="s">
        <v>80</v>
      </c>
      <c r="C57" s="8" t="s">
        <v>81</v>
      </c>
      <c r="D57" s="8" t="s">
        <v>41</v>
      </c>
      <c r="E57" s="8" t="s">
        <v>53</v>
      </c>
      <c r="F57" s="8" t="s">
        <v>51</v>
      </c>
      <c r="G57" s="8" t="s">
        <v>54</v>
      </c>
      <c r="H57" s="8" t="s">
        <v>38</v>
      </c>
      <c r="I57" s="8" t="s">
        <v>84</v>
      </c>
      <c r="J57" s="8" t="s">
        <v>85</v>
      </c>
      <c r="K57" s="8" t="s">
        <v>67</v>
      </c>
      <c r="L57" s="10">
        <f>210000</f>
        <v>210000</v>
      </c>
      <c r="M57" s="9">
        <f t="shared" ref="M57:M58" si="9">0-0</f>
        <v>0</v>
      </c>
      <c r="N57" s="9">
        <v>0</v>
      </c>
      <c r="O57" s="10">
        <f t="shared" si="4"/>
        <v>210000</v>
      </c>
      <c r="P57" s="10"/>
      <c r="Q57" s="10"/>
      <c r="R57" s="10"/>
      <c r="S57" s="10">
        <f>11873.28+2743.38+28714.5+7599.72</f>
        <v>50930.880000000005</v>
      </c>
      <c r="T57" s="10">
        <f t="shared" ref="T57:U57" si="10">11873.28+28714.5+7599.72</f>
        <v>48187.5</v>
      </c>
      <c r="U57" s="10">
        <f t="shared" si="10"/>
        <v>48187.5</v>
      </c>
      <c r="V57" s="10"/>
      <c r="W57" s="10"/>
      <c r="X57" s="10"/>
      <c r="Y57" s="1"/>
      <c r="Z57" s="1"/>
    </row>
    <row r="58" spans="1:26" ht="63.75">
      <c r="A58" s="1"/>
      <c r="B58" s="7" t="s">
        <v>80</v>
      </c>
      <c r="C58" s="8" t="s">
        <v>81</v>
      </c>
      <c r="D58" s="8" t="s">
        <v>41</v>
      </c>
      <c r="E58" s="8" t="s">
        <v>59</v>
      </c>
      <c r="F58" s="8" t="s">
        <v>51</v>
      </c>
      <c r="G58" s="8" t="s">
        <v>60</v>
      </c>
      <c r="H58" s="8" t="s">
        <v>38</v>
      </c>
      <c r="I58" s="8" t="s">
        <v>84</v>
      </c>
      <c r="J58" s="8" t="s">
        <v>85</v>
      </c>
      <c r="K58" s="8" t="s">
        <v>45</v>
      </c>
      <c r="L58" s="9">
        <v>50000</v>
      </c>
      <c r="M58" s="9">
        <f t="shared" si="9"/>
        <v>0</v>
      </c>
      <c r="N58" s="9">
        <v>0</v>
      </c>
      <c r="O58" s="10">
        <f t="shared" si="4"/>
        <v>50000</v>
      </c>
      <c r="P58" s="10"/>
      <c r="Q58" s="10"/>
      <c r="R58" s="10"/>
      <c r="S58" s="9">
        <v>0</v>
      </c>
      <c r="T58" s="9">
        <v>0</v>
      </c>
      <c r="U58" s="9">
        <v>0</v>
      </c>
      <c r="V58" s="10"/>
      <c r="W58" s="10"/>
      <c r="X58" s="10"/>
      <c r="Y58" s="1"/>
      <c r="Z58" s="1"/>
    </row>
    <row r="59" spans="1:26" ht="63.75">
      <c r="A59" s="1"/>
      <c r="B59" s="7" t="s">
        <v>80</v>
      </c>
      <c r="C59" s="8" t="s">
        <v>81</v>
      </c>
      <c r="D59" s="8" t="s">
        <v>41</v>
      </c>
      <c r="E59" s="8" t="s">
        <v>59</v>
      </c>
      <c r="F59" s="8" t="s">
        <v>51</v>
      </c>
      <c r="G59" s="8" t="s">
        <v>60</v>
      </c>
      <c r="H59" s="8" t="s">
        <v>38</v>
      </c>
      <c r="I59" s="8" t="s">
        <v>90</v>
      </c>
      <c r="J59" s="8" t="s">
        <v>85</v>
      </c>
      <c r="K59" s="8" t="s">
        <v>45</v>
      </c>
      <c r="L59" s="9">
        <v>0</v>
      </c>
      <c r="M59" s="9">
        <f>230000-0</f>
        <v>230000</v>
      </c>
      <c r="N59" s="9">
        <v>0</v>
      </c>
      <c r="O59" s="10">
        <f t="shared" si="4"/>
        <v>230000</v>
      </c>
      <c r="P59" s="10"/>
      <c r="Q59" s="10"/>
      <c r="R59" s="10"/>
      <c r="S59" s="9">
        <v>209101.18</v>
      </c>
      <c r="T59" s="9">
        <v>209101.18</v>
      </c>
      <c r="U59" s="9">
        <v>209101.18</v>
      </c>
      <c r="V59" s="10"/>
      <c r="W59" s="10"/>
      <c r="X59" s="10"/>
      <c r="Y59" s="1"/>
      <c r="Z59" s="1"/>
    </row>
    <row r="60" spans="1:26" ht="63.75">
      <c r="A60" s="1"/>
      <c r="B60" s="7" t="s">
        <v>80</v>
      </c>
      <c r="C60" s="8" t="s">
        <v>81</v>
      </c>
      <c r="D60" s="8" t="s">
        <v>41</v>
      </c>
      <c r="E60" s="8" t="s">
        <v>50</v>
      </c>
      <c r="F60" s="8" t="s">
        <v>51</v>
      </c>
      <c r="G60" s="8" t="s">
        <v>52</v>
      </c>
      <c r="H60" s="8" t="s">
        <v>38</v>
      </c>
      <c r="I60" s="8" t="s">
        <v>84</v>
      </c>
      <c r="J60" s="8" t="s">
        <v>85</v>
      </c>
      <c r="K60" s="8" t="s">
        <v>45</v>
      </c>
      <c r="L60" s="9">
        <v>50000</v>
      </c>
      <c r="M60" s="9">
        <f>0-0</f>
        <v>0</v>
      </c>
      <c r="N60" s="9">
        <v>0</v>
      </c>
      <c r="O60" s="10">
        <f t="shared" si="4"/>
        <v>50000</v>
      </c>
      <c r="P60" s="10"/>
      <c r="Q60" s="10"/>
      <c r="R60" s="10"/>
      <c r="S60" s="9">
        <v>0</v>
      </c>
      <c r="T60" s="9">
        <v>0</v>
      </c>
      <c r="U60" s="9">
        <v>0</v>
      </c>
      <c r="V60" s="10"/>
      <c r="W60" s="10"/>
      <c r="X60" s="10"/>
      <c r="Y60" s="1"/>
      <c r="Z60" s="1"/>
    </row>
    <row r="61" spans="1:26" ht="63.75">
      <c r="A61" s="1"/>
      <c r="B61" s="7" t="s">
        <v>80</v>
      </c>
      <c r="C61" s="8" t="s">
        <v>81</v>
      </c>
      <c r="D61" s="8" t="s">
        <v>41</v>
      </c>
      <c r="E61" s="8" t="s">
        <v>50</v>
      </c>
      <c r="F61" s="8" t="s">
        <v>51</v>
      </c>
      <c r="G61" s="8" t="s">
        <v>52</v>
      </c>
      <c r="H61" s="8" t="s">
        <v>38</v>
      </c>
      <c r="I61" s="8" t="s">
        <v>90</v>
      </c>
      <c r="J61" s="8" t="s">
        <v>85</v>
      </c>
      <c r="K61" s="8" t="s">
        <v>45</v>
      </c>
      <c r="L61" s="9">
        <v>0</v>
      </c>
      <c r="M61" s="9">
        <f>505750-0</f>
        <v>505750</v>
      </c>
      <c r="N61" s="9">
        <v>0</v>
      </c>
      <c r="O61" s="10">
        <f t="shared" si="4"/>
        <v>505750</v>
      </c>
      <c r="P61" s="10"/>
      <c r="Q61" s="10"/>
      <c r="R61" s="10"/>
      <c r="S61" s="9">
        <v>440687.57</v>
      </c>
      <c r="T61" s="9">
        <v>440687.57</v>
      </c>
      <c r="U61" s="9">
        <v>440687.57</v>
      </c>
      <c r="V61" s="10"/>
      <c r="W61" s="10"/>
      <c r="X61" s="10"/>
      <c r="Y61" s="1"/>
      <c r="Z61" s="1"/>
    </row>
    <row r="62" spans="1:26" ht="63.75">
      <c r="A62" s="1"/>
      <c r="B62" s="7" t="s">
        <v>80</v>
      </c>
      <c r="C62" s="8" t="s">
        <v>81</v>
      </c>
      <c r="D62" s="8" t="s">
        <v>68</v>
      </c>
      <c r="E62" s="8" t="s">
        <v>69</v>
      </c>
      <c r="F62" s="8" t="s">
        <v>51</v>
      </c>
      <c r="G62" s="8" t="s">
        <v>70</v>
      </c>
      <c r="H62" s="8" t="s">
        <v>38</v>
      </c>
      <c r="I62" s="8" t="s">
        <v>84</v>
      </c>
      <c r="J62" s="8" t="s">
        <v>85</v>
      </c>
      <c r="K62" s="8" t="s">
        <v>45</v>
      </c>
      <c r="L62" s="9">
        <v>1255215</v>
      </c>
      <c r="M62" s="9">
        <f>645829.45-482161.45</f>
        <v>163667.99999999994</v>
      </c>
      <c r="N62" s="9">
        <v>0</v>
      </c>
      <c r="O62" s="10">
        <f t="shared" si="4"/>
        <v>1418883</v>
      </c>
      <c r="P62" s="10"/>
      <c r="Q62" s="10"/>
      <c r="R62" s="10"/>
      <c r="S62" s="9">
        <v>1371186.26</v>
      </c>
      <c r="T62" s="9">
        <v>1207162.01</v>
      </c>
      <c r="U62" s="9">
        <v>1204817.3600000001</v>
      </c>
      <c r="V62" s="10"/>
      <c r="W62" s="10"/>
      <c r="X62" s="10"/>
      <c r="Y62" s="1"/>
      <c r="Z62" s="1"/>
    </row>
    <row r="63" spans="1:26" ht="63.75">
      <c r="A63" s="1"/>
      <c r="B63" s="7" t="s">
        <v>80</v>
      </c>
      <c r="C63" s="8" t="s">
        <v>81</v>
      </c>
      <c r="D63" s="8" t="s">
        <v>68</v>
      </c>
      <c r="E63" s="8" t="s">
        <v>69</v>
      </c>
      <c r="F63" s="8" t="s">
        <v>51</v>
      </c>
      <c r="G63" s="8" t="s">
        <v>70</v>
      </c>
      <c r="H63" s="8" t="s">
        <v>38</v>
      </c>
      <c r="I63" s="8" t="s">
        <v>90</v>
      </c>
      <c r="J63" s="8" t="s">
        <v>85</v>
      </c>
      <c r="K63" s="8" t="s">
        <v>45</v>
      </c>
      <c r="L63" s="9">
        <v>0</v>
      </c>
      <c r="M63" s="9">
        <f>253166-2870</f>
        <v>250296</v>
      </c>
      <c r="N63" s="9">
        <v>0</v>
      </c>
      <c r="O63" s="10">
        <f t="shared" si="4"/>
        <v>250296</v>
      </c>
      <c r="P63" s="10"/>
      <c r="Q63" s="10"/>
      <c r="R63" s="10"/>
      <c r="S63" s="9">
        <v>247871</v>
      </c>
      <c r="T63" s="9">
        <v>56213</v>
      </c>
      <c r="U63" s="9">
        <v>56213</v>
      </c>
      <c r="V63" s="10"/>
      <c r="W63" s="10"/>
      <c r="X63" s="10"/>
      <c r="Y63" s="1"/>
      <c r="Z63" s="1"/>
    </row>
    <row r="64" spans="1:26" ht="76.5">
      <c r="A64" s="1"/>
      <c r="B64" s="7" t="s">
        <v>80</v>
      </c>
      <c r="C64" s="8" t="s">
        <v>81</v>
      </c>
      <c r="D64" s="8" t="s">
        <v>99</v>
      </c>
      <c r="E64" s="8" t="s">
        <v>109</v>
      </c>
      <c r="F64" s="8" t="s">
        <v>51</v>
      </c>
      <c r="G64" s="8" t="s">
        <v>110</v>
      </c>
      <c r="H64" s="8" t="s">
        <v>38</v>
      </c>
      <c r="I64" s="8" t="s">
        <v>84</v>
      </c>
      <c r="J64" s="8" t="s">
        <v>85</v>
      </c>
      <c r="K64" s="8" t="s">
        <v>45</v>
      </c>
      <c r="L64" s="10">
        <f>11991900-L65</f>
        <v>11200000</v>
      </c>
      <c r="M64" s="9">
        <f>48707.24-4193668.24</f>
        <v>-4144961</v>
      </c>
      <c r="N64" s="9">
        <v>0</v>
      </c>
      <c r="O64" s="10">
        <f t="shared" si="4"/>
        <v>7055039</v>
      </c>
      <c r="P64" s="10"/>
      <c r="Q64" s="10"/>
      <c r="R64" s="10"/>
      <c r="S64" s="9">
        <v>6618398.9800000004</v>
      </c>
      <c r="T64" s="9">
        <v>6426337.5199999996</v>
      </c>
      <c r="U64" s="9">
        <v>6426337.5199999996</v>
      </c>
      <c r="V64" s="10"/>
      <c r="W64" s="10"/>
      <c r="X64" s="10"/>
      <c r="Y64" s="1"/>
      <c r="Z64" s="1"/>
    </row>
    <row r="65" spans="1:26" ht="76.5">
      <c r="A65" s="1"/>
      <c r="B65" s="7" t="s">
        <v>80</v>
      </c>
      <c r="C65" s="8" t="s">
        <v>81</v>
      </c>
      <c r="D65" s="8" t="s">
        <v>99</v>
      </c>
      <c r="E65" s="8" t="s">
        <v>109</v>
      </c>
      <c r="F65" s="8" t="s">
        <v>51</v>
      </c>
      <c r="G65" s="8" t="s">
        <v>110</v>
      </c>
      <c r="H65" s="8" t="s">
        <v>38</v>
      </c>
      <c r="I65" s="8" t="s">
        <v>84</v>
      </c>
      <c r="J65" s="8" t="s">
        <v>85</v>
      </c>
      <c r="K65" s="8" t="s">
        <v>67</v>
      </c>
      <c r="L65" s="10">
        <f>100000+691900</f>
        <v>791900</v>
      </c>
      <c r="M65" s="9">
        <f>0-674000</f>
        <v>-674000</v>
      </c>
      <c r="N65" s="9">
        <v>0</v>
      </c>
      <c r="O65" s="10">
        <f t="shared" si="4"/>
        <v>117900</v>
      </c>
      <c r="P65" s="10"/>
      <c r="Q65" s="10"/>
      <c r="R65" s="10"/>
      <c r="S65" s="9">
        <v>0</v>
      </c>
      <c r="T65" s="9">
        <v>0</v>
      </c>
      <c r="U65" s="9">
        <v>0</v>
      </c>
      <c r="V65" s="10"/>
      <c r="W65" s="10"/>
      <c r="X65" s="10"/>
      <c r="Y65" s="1"/>
      <c r="Z65" s="1"/>
    </row>
    <row r="66" spans="1:26" ht="63.75">
      <c r="A66" s="1"/>
      <c r="B66" s="7" t="s">
        <v>80</v>
      </c>
      <c r="C66" s="8" t="s">
        <v>81</v>
      </c>
      <c r="D66" s="8" t="s">
        <v>41</v>
      </c>
      <c r="E66" s="8" t="s">
        <v>111</v>
      </c>
      <c r="F66" s="8" t="s">
        <v>51</v>
      </c>
      <c r="G66" s="8" t="s">
        <v>112</v>
      </c>
      <c r="H66" s="8" t="s">
        <v>38</v>
      </c>
      <c r="I66" s="8" t="s">
        <v>84</v>
      </c>
      <c r="J66" s="8" t="s">
        <v>85</v>
      </c>
      <c r="K66" s="8" t="s">
        <v>45</v>
      </c>
      <c r="L66" s="9">
        <v>960000</v>
      </c>
      <c r="M66" s="9">
        <f>70130-70130</f>
        <v>0</v>
      </c>
      <c r="N66" s="9">
        <v>0</v>
      </c>
      <c r="O66" s="10">
        <f t="shared" si="4"/>
        <v>960000</v>
      </c>
      <c r="P66" s="10"/>
      <c r="Q66" s="10"/>
      <c r="R66" s="10"/>
      <c r="S66" s="9">
        <v>885520.02</v>
      </c>
      <c r="T66" s="9">
        <v>885520.02</v>
      </c>
      <c r="U66" s="9">
        <v>885520.02</v>
      </c>
      <c r="V66" s="10"/>
      <c r="W66" s="10"/>
      <c r="X66" s="10"/>
      <c r="Y66" s="1"/>
      <c r="Z66" s="1"/>
    </row>
    <row r="67" spans="1:26" ht="63.75">
      <c r="A67" s="1"/>
      <c r="B67" s="7" t="s">
        <v>80</v>
      </c>
      <c r="C67" s="8" t="s">
        <v>81</v>
      </c>
      <c r="D67" s="8" t="s">
        <v>68</v>
      </c>
      <c r="E67" s="8" t="s">
        <v>71</v>
      </c>
      <c r="F67" s="8" t="s">
        <v>51</v>
      </c>
      <c r="G67" s="8" t="s">
        <v>113</v>
      </c>
      <c r="H67" s="8" t="s">
        <v>38</v>
      </c>
      <c r="I67" s="15" t="s">
        <v>90</v>
      </c>
      <c r="J67" s="8" t="s">
        <v>85</v>
      </c>
      <c r="K67" s="8" t="s">
        <v>45</v>
      </c>
      <c r="L67" s="9">
        <v>0</v>
      </c>
      <c r="M67" s="9">
        <f>2800000-0</f>
        <v>2800000</v>
      </c>
      <c r="N67" s="9">
        <v>0</v>
      </c>
      <c r="O67" s="10">
        <f t="shared" si="4"/>
        <v>2800000</v>
      </c>
      <c r="P67" s="10"/>
      <c r="Q67" s="10"/>
      <c r="R67" s="10"/>
      <c r="S67" s="9">
        <v>0</v>
      </c>
      <c r="T67" s="9">
        <v>0</v>
      </c>
      <c r="U67" s="9">
        <v>0</v>
      </c>
      <c r="V67" s="10"/>
      <c r="W67" s="10"/>
      <c r="X67" s="10"/>
      <c r="Y67" s="1"/>
      <c r="Z67" s="1"/>
    </row>
    <row r="68" spans="1:26" ht="51">
      <c r="A68" s="1"/>
      <c r="B68" s="7" t="s">
        <v>80</v>
      </c>
      <c r="C68" s="8" t="s">
        <v>81</v>
      </c>
      <c r="D68" s="8" t="s">
        <v>68</v>
      </c>
      <c r="E68" s="8" t="s">
        <v>71</v>
      </c>
      <c r="F68" s="8" t="s">
        <v>51</v>
      </c>
      <c r="G68" s="8" t="s">
        <v>113</v>
      </c>
      <c r="H68" s="8" t="s">
        <v>38</v>
      </c>
      <c r="I68" s="8" t="s">
        <v>114</v>
      </c>
      <c r="J68" s="8" t="s">
        <v>115</v>
      </c>
      <c r="K68" s="8" t="s">
        <v>45</v>
      </c>
      <c r="L68" s="9">
        <v>1175000</v>
      </c>
      <c r="M68" s="9">
        <f>344300-344300</f>
        <v>0</v>
      </c>
      <c r="N68" s="9">
        <v>0</v>
      </c>
      <c r="O68" s="10">
        <f t="shared" si="4"/>
        <v>1175000</v>
      </c>
      <c r="P68" s="10"/>
      <c r="Q68" s="10"/>
      <c r="R68" s="10"/>
      <c r="S68" s="9">
        <v>1119886.67</v>
      </c>
      <c r="T68" s="9">
        <v>994716.07</v>
      </c>
      <c r="U68" s="9">
        <v>987883.7</v>
      </c>
      <c r="V68" s="10"/>
      <c r="W68" s="10"/>
      <c r="X68" s="10"/>
      <c r="Y68" s="1"/>
      <c r="Z68" s="1"/>
    </row>
    <row r="69" spans="1:26" ht="41.25" customHeight="1">
      <c r="A69" s="1"/>
      <c r="B69" s="14" t="s">
        <v>80</v>
      </c>
      <c r="C69" s="15" t="s">
        <v>81</v>
      </c>
      <c r="D69" s="15" t="s">
        <v>68</v>
      </c>
      <c r="E69" s="15" t="s">
        <v>71</v>
      </c>
      <c r="F69" s="8" t="s">
        <v>51</v>
      </c>
      <c r="G69" s="8" t="s">
        <v>113</v>
      </c>
      <c r="H69" s="15" t="s">
        <v>38</v>
      </c>
      <c r="I69" s="15" t="s">
        <v>116</v>
      </c>
      <c r="J69" s="8" t="s">
        <v>115</v>
      </c>
      <c r="K69" s="15" t="s">
        <v>67</v>
      </c>
      <c r="L69" s="9">
        <v>0</v>
      </c>
      <c r="M69" s="9">
        <f>6000-0</f>
        <v>6000</v>
      </c>
      <c r="N69" s="9">
        <v>0</v>
      </c>
      <c r="O69" s="10">
        <f t="shared" si="4"/>
        <v>6000</v>
      </c>
      <c r="P69" s="10"/>
      <c r="Q69" s="10"/>
      <c r="R69" s="10"/>
      <c r="S69" s="9">
        <v>0</v>
      </c>
      <c r="T69" s="9">
        <v>0</v>
      </c>
      <c r="U69" s="9">
        <v>0</v>
      </c>
      <c r="V69" s="10"/>
      <c r="W69" s="10"/>
      <c r="X69" s="10"/>
      <c r="Y69" s="1"/>
      <c r="Z69" s="1"/>
    </row>
    <row r="70" spans="1:26" ht="22.5" customHeight="1">
      <c r="A70" s="1"/>
      <c r="B70" s="53" t="s">
        <v>117</v>
      </c>
      <c r="C70" s="34"/>
      <c r="D70" s="34"/>
      <c r="E70" s="34"/>
      <c r="F70" s="34"/>
      <c r="G70" s="34"/>
      <c r="H70" s="34"/>
      <c r="I70" s="34"/>
      <c r="J70" s="34"/>
      <c r="K70" s="35"/>
      <c r="L70" s="21">
        <f t="shared" ref="L70:X70" si="11">SUM(L30:L69)</f>
        <v>268375000</v>
      </c>
      <c r="M70" s="21">
        <f t="shared" si="11"/>
        <v>65035115.020000011</v>
      </c>
      <c r="N70" s="21">
        <f t="shared" si="11"/>
        <v>0</v>
      </c>
      <c r="O70" s="21">
        <f t="shared" si="11"/>
        <v>333410115.01999998</v>
      </c>
      <c r="P70" s="21">
        <f t="shared" si="11"/>
        <v>191097122.06999999</v>
      </c>
      <c r="Q70" s="21">
        <f t="shared" si="11"/>
        <v>158063674.75999999</v>
      </c>
      <c r="R70" s="21">
        <f t="shared" si="11"/>
        <v>157744099.31</v>
      </c>
      <c r="S70" s="21">
        <f t="shared" si="11"/>
        <v>57374839.270000003</v>
      </c>
      <c r="T70" s="21">
        <f t="shared" si="11"/>
        <v>47381716.010000005</v>
      </c>
      <c r="U70" s="21">
        <f t="shared" si="11"/>
        <v>47266217.350000001</v>
      </c>
      <c r="V70" s="21">
        <f t="shared" si="11"/>
        <v>0</v>
      </c>
      <c r="W70" s="21">
        <f t="shared" si="11"/>
        <v>0</v>
      </c>
      <c r="X70" s="21">
        <f t="shared" si="11"/>
        <v>0</v>
      </c>
      <c r="Y70" s="1"/>
      <c r="Z70" s="1"/>
    </row>
    <row r="71" spans="1:26" ht="23.25" customHeight="1">
      <c r="A71" s="1"/>
      <c r="B71" s="54" t="s">
        <v>118</v>
      </c>
      <c r="C71" s="34"/>
      <c r="D71" s="34"/>
      <c r="E71" s="34"/>
      <c r="F71" s="34"/>
      <c r="G71" s="34"/>
      <c r="H71" s="34"/>
      <c r="I71" s="34"/>
      <c r="J71" s="34"/>
      <c r="K71" s="35"/>
      <c r="L71" s="22">
        <f t="shared" ref="L71:X71" si="12">L26+L70</f>
        <v>1368008000</v>
      </c>
      <c r="M71" s="22">
        <f t="shared" si="12"/>
        <v>194949893.78000003</v>
      </c>
      <c r="N71" s="22">
        <f t="shared" si="12"/>
        <v>0</v>
      </c>
      <c r="O71" s="22">
        <f t="shared" si="12"/>
        <v>1562957893.78</v>
      </c>
      <c r="P71" s="23">
        <f t="shared" si="12"/>
        <v>822874554.42000008</v>
      </c>
      <c r="Q71" s="23">
        <f t="shared" si="12"/>
        <v>788859442.44999993</v>
      </c>
      <c r="R71" s="23">
        <f t="shared" si="12"/>
        <v>787596999.58999991</v>
      </c>
      <c r="S71" s="23">
        <f t="shared" si="12"/>
        <v>443934273.79000002</v>
      </c>
      <c r="T71" s="23">
        <f t="shared" si="12"/>
        <v>433440655.31999999</v>
      </c>
      <c r="U71" s="23">
        <f t="shared" si="12"/>
        <v>432243311.25000006</v>
      </c>
      <c r="V71" s="23">
        <f t="shared" si="12"/>
        <v>122470818.85000001</v>
      </c>
      <c r="W71" s="23">
        <f t="shared" si="12"/>
        <v>120470778.90000001</v>
      </c>
      <c r="X71" s="23">
        <f t="shared" si="12"/>
        <v>120470778.90000001</v>
      </c>
      <c r="Y71" s="1"/>
      <c r="Z71" s="1"/>
    </row>
    <row r="72" spans="1:26" ht="17.25" customHeight="1">
      <c r="A72" s="1"/>
      <c r="B72" s="24"/>
      <c r="C72" s="55" t="s">
        <v>119</v>
      </c>
      <c r="D72" s="38"/>
      <c r="E72" s="38"/>
      <c r="F72" s="38"/>
      <c r="G72" s="38"/>
      <c r="H72" s="38"/>
      <c r="I72" s="38"/>
      <c r="J72" s="38"/>
      <c r="K72" s="38"/>
      <c r="L72" s="38"/>
      <c r="M72" s="25"/>
      <c r="N72" s="25"/>
      <c r="O72" s="26"/>
      <c r="P72" s="24"/>
      <c r="Q72" s="24"/>
      <c r="R72" s="24"/>
      <c r="S72" s="24"/>
      <c r="T72" s="24"/>
      <c r="U72" s="24"/>
      <c r="V72" s="24"/>
      <c r="W72" s="24"/>
      <c r="X72" s="24"/>
      <c r="Y72" s="1"/>
      <c r="Z72" s="1"/>
    </row>
    <row r="73" spans="1:26" ht="19.5" customHeight="1">
      <c r="A73" s="1"/>
      <c r="B73" s="1"/>
      <c r="C73" s="55" t="s">
        <v>120</v>
      </c>
      <c r="D73" s="38"/>
      <c r="E73" s="38"/>
      <c r="F73" s="38"/>
      <c r="G73" s="38"/>
      <c r="H73" s="38"/>
      <c r="I73" s="38"/>
      <c r="J73" s="38"/>
      <c r="K73" s="38"/>
      <c r="L73" s="38"/>
      <c r="M73" s="26"/>
      <c r="N73" s="26"/>
      <c r="O73" s="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6"/>
      <c r="M74" s="26"/>
      <c r="N74" s="26"/>
      <c r="O74" s="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1"/>
      <c r="B75" s="1"/>
      <c r="C75" s="1"/>
      <c r="D75" s="1"/>
      <c r="E75" s="27"/>
      <c r="F75" s="27"/>
      <c r="G75" s="27"/>
      <c r="H75" s="1"/>
      <c r="I75" s="27"/>
      <c r="J75" s="1"/>
      <c r="K75" s="1"/>
      <c r="L75" s="26"/>
      <c r="M75" s="26"/>
      <c r="N75" s="26"/>
      <c r="O75" s="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>
      <c r="A76" s="1"/>
      <c r="B76" s="1"/>
      <c r="C76" s="1"/>
      <c r="D76" s="1"/>
      <c r="E76" s="27"/>
      <c r="F76" s="28"/>
      <c r="G76" s="28"/>
      <c r="H76" s="26"/>
      <c r="I76" s="28"/>
      <c r="J76" s="1"/>
      <c r="K76" s="1"/>
      <c r="L76" s="26"/>
      <c r="M76" s="26"/>
      <c r="N76" s="26"/>
      <c r="O76" s="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>
      <c r="A77" s="1"/>
      <c r="B77" s="1"/>
      <c r="C77" s="1"/>
      <c r="D77" s="1"/>
      <c r="E77" s="27"/>
      <c r="F77" s="28"/>
      <c r="G77" s="28"/>
      <c r="H77" s="26"/>
      <c r="I77" s="28"/>
      <c r="J77" s="1"/>
      <c r="K77" s="1"/>
      <c r="L77" s="26"/>
      <c r="M77" s="26"/>
      <c r="N77" s="26"/>
      <c r="O77" s="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>
      <c r="A78" s="1"/>
      <c r="B78" s="1"/>
      <c r="C78" s="1"/>
      <c r="D78" s="1"/>
      <c r="E78" s="27"/>
      <c r="F78" s="28"/>
      <c r="G78" s="28"/>
      <c r="H78" s="26"/>
      <c r="I78" s="28"/>
      <c r="J78" s="1"/>
      <c r="K78" s="1"/>
      <c r="L78" s="26"/>
      <c r="M78" s="26"/>
      <c r="N78" s="26"/>
      <c r="O78" s="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28"/>
      <c r="J79" s="1"/>
      <c r="K79" s="1"/>
      <c r="L79" s="26"/>
      <c r="M79" s="26"/>
      <c r="N79" s="26"/>
      <c r="O79" s="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29"/>
      <c r="B80" s="29"/>
      <c r="C80" s="29"/>
      <c r="D80" s="29"/>
      <c r="E80" s="30"/>
      <c r="F80" s="31"/>
      <c r="G80" s="31"/>
      <c r="H80" s="30"/>
      <c r="I80" s="31"/>
      <c r="J80" s="29"/>
      <c r="K80" s="29"/>
      <c r="L80" s="32"/>
      <c r="M80" s="32"/>
      <c r="N80" s="32"/>
      <c r="O80" s="32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32"/>
      <c r="M81" s="32"/>
      <c r="N81" s="32"/>
      <c r="O81" s="32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>
      <c r="A82" s="29"/>
      <c r="B82" s="29"/>
      <c r="C82" s="29"/>
      <c r="D82" s="29"/>
      <c r="E82" s="31"/>
      <c r="F82" s="31"/>
      <c r="G82" s="31"/>
      <c r="H82" s="31"/>
      <c r="I82" s="31"/>
      <c r="J82" s="29"/>
      <c r="K82" s="29"/>
      <c r="L82" s="32"/>
      <c r="M82" s="32"/>
      <c r="N82" s="32"/>
      <c r="O82" s="32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>
      <c r="A83" s="29"/>
      <c r="B83" s="29"/>
      <c r="C83" s="29"/>
      <c r="D83" s="29"/>
      <c r="E83" s="29"/>
      <c r="F83" s="32"/>
      <c r="G83" s="32"/>
      <c r="H83" s="29"/>
      <c r="I83" s="29"/>
      <c r="J83" s="29"/>
      <c r="K83" s="29"/>
      <c r="L83" s="32"/>
      <c r="M83" s="32"/>
      <c r="N83" s="32"/>
      <c r="O83" s="32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32"/>
      <c r="M84" s="32"/>
      <c r="N84" s="32"/>
      <c r="O84" s="32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75" customHeight="1">
      <c r="A85" s="29"/>
      <c r="B85" s="29"/>
      <c r="C85" s="29"/>
      <c r="D85" s="29"/>
      <c r="E85" s="27"/>
      <c r="F85" s="27"/>
      <c r="G85" s="27"/>
      <c r="H85" s="1"/>
      <c r="I85" s="27"/>
      <c r="J85" s="29"/>
      <c r="K85" s="29"/>
      <c r="L85" s="32"/>
      <c r="M85" s="32"/>
      <c r="N85" s="32"/>
      <c r="O85" s="32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75" customHeight="1">
      <c r="A86" s="29"/>
      <c r="B86" s="29"/>
      <c r="C86" s="29"/>
      <c r="D86" s="29"/>
      <c r="E86" s="27"/>
      <c r="F86" s="28"/>
      <c r="G86" s="28"/>
      <c r="H86" s="26"/>
      <c r="I86" s="28"/>
      <c r="J86" s="29"/>
      <c r="K86" s="29"/>
      <c r="L86" s="32"/>
      <c r="M86" s="32"/>
      <c r="N86" s="32"/>
      <c r="O86" s="32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75" customHeight="1">
      <c r="A87" s="29"/>
      <c r="B87" s="29"/>
      <c r="C87" s="29"/>
      <c r="D87" s="29"/>
      <c r="E87" s="27"/>
      <c r="F87" s="28"/>
      <c r="G87" s="28"/>
      <c r="H87" s="26"/>
      <c r="I87" s="28"/>
      <c r="J87" s="29"/>
      <c r="K87" s="29"/>
      <c r="L87" s="32"/>
      <c r="M87" s="32"/>
      <c r="N87" s="32"/>
      <c r="O87" s="32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>
      <c r="A88" s="29"/>
      <c r="B88" s="29"/>
      <c r="C88" s="29"/>
      <c r="D88" s="29"/>
      <c r="E88" s="27"/>
      <c r="F88" s="28"/>
      <c r="G88" s="28"/>
      <c r="H88" s="26"/>
      <c r="I88" s="28"/>
      <c r="J88" s="29"/>
      <c r="K88" s="29"/>
      <c r="L88" s="32"/>
      <c r="M88" s="32"/>
      <c r="N88" s="32"/>
      <c r="O88" s="32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>
      <c r="A89" s="29"/>
      <c r="B89" s="29"/>
      <c r="C89" s="29"/>
      <c r="D89" s="29"/>
      <c r="E89" s="1"/>
      <c r="F89" s="1"/>
      <c r="G89" s="1"/>
      <c r="H89" s="1"/>
      <c r="I89" s="28"/>
      <c r="J89" s="29"/>
      <c r="K89" s="29"/>
      <c r="L89" s="32"/>
      <c r="M89" s="32"/>
      <c r="N89" s="32"/>
      <c r="O89" s="32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>
      <c r="A90" s="29"/>
      <c r="B90" s="29"/>
      <c r="C90" s="29"/>
      <c r="D90" s="29"/>
      <c r="E90" s="30"/>
      <c r="F90" s="31"/>
      <c r="G90" s="31"/>
      <c r="H90" s="30"/>
      <c r="I90" s="31"/>
      <c r="J90" s="29"/>
      <c r="K90" s="29"/>
      <c r="L90" s="32"/>
      <c r="M90" s="32"/>
      <c r="N90" s="32"/>
      <c r="O90" s="32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32"/>
      <c r="M91" s="32"/>
      <c r="N91" s="32"/>
      <c r="O91" s="32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>
      <c r="A92" s="29"/>
      <c r="B92" s="29"/>
      <c r="C92" s="29"/>
      <c r="D92" s="29"/>
      <c r="E92" s="31"/>
      <c r="F92" s="31"/>
      <c r="G92" s="31"/>
      <c r="H92" s="31"/>
      <c r="I92" s="31"/>
      <c r="J92" s="29"/>
      <c r="K92" s="29"/>
      <c r="L92" s="32"/>
      <c r="M92" s="32"/>
      <c r="N92" s="32"/>
      <c r="O92" s="32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>
      <c r="A93" s="29"/>
      <c r="B93" s="29"/>
      <c r="C93" s="29"/>
      <c r="D93" s="29"/>
      <c r="E93" s="29"/>
      <c r="F93" s="32"/>
      <c r="G93" s="32"/>
      <c r="H93" s="29"/>
      <c r="I93" s="29"/>
      <c r="J93" s="29"/>
      <c r="K93" s="29"/>
      <c r="L93" s="32"/>
      <c r="M93" s="32"/>
      <c r="N93" s="32"/>
      <c r="O93" s="32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32"/>
      <c r="M94" s="32"/>
      <c r="N94" s="32"/>
      <c r="O94" s="32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75" customHeight="1">
      <c r="A95" s="29"/>
      <c r="B95" s="29"/>
      <c r="C95" s="29"/>
      <c r="D95" s="29"/>
      <c r="E95" s="27"/>
      <c r="F95" s="27"/>
      <c r="G95" s="27"/>
      <c r="H95" s="1"/>
      <c r="I95" s="27"/>
      <c r="J95" s="29"/>
      <c r="K95" s="29"/>
      <c r="L95" s="32"/>
      <c r="M95" s="32"/>
      <c r="N95" s="32"/>
      <c r="O95" s="32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75" customHeight="1">
      <c r="A96" s="29"/>
      <c r="B96" s="29"/>
      <c r="C96" s="29"/>
      <c r="D96" s="29"/>
      <c r="E96" s="27"/>
      <c r="F96" s="28"/>
      <c r="G96" s="28"/>
      <c r="H96" s="26"/>
      <c r="I96" s="28"/>
      <c r="J96" s="29"/>
      <c r="K96" s="29"/>
      <c r="L96" s="32"/>
      <c r="M96" s="32"/>
      <c r="N96" s="32"/>
      <c r="O96" s="32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75" customHeight="1">
      <c r="A97" s="29"/>
      <c r="B97" s="29"/>
      <c r="C97" s="29"/>
      <c r="D97" s="29"/>
      <c r="E97" s="27"/>
      <c r="F97" s="28"/>
      <c r="G97" s="28"/>
      <c r="H97" s="26"/>
      <c r="I97" s="28"/>
      <c r="J97" s="29"/>
      <c r="K97" s="29"/>
      <c r="L97" s="32"/>
      <c r="M97" s="32"/>
      <c r="N97" s="32"/>
      <c r="O97" s="32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75" customHeight="1">
      <c r="A98" s="29"/>
      <c r="B98" s="29"/>
      <c r="C98" s="29"/>
      <c r="D98" s="29"/>
      <c r="E98" s="27"/>
      <c r="F98" s="28"/>
      <c r="G98" s="28"/>
      <c r="H98" s="26"/>
      <c r="I98" s="28"/>
      <c r="J98" s="29"/>
      <c r="K98" s="29"/>
      <c r="L98" s="32"/>
      <c r="M98" s="32"/>
      <c r="N98" s="32"/>
      <c r="O98" s="32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75" customHeight="1">
      <c r="A99" s="29"/>
      <c r="B99" s="29"/>
      <c r="C99" s="29"/>
      <c r="D99" s="29"/>
      <c r="E99" s="1"/>
      <c r="F99" s="1"/>
      <c r="G99" s="1"/>
      <c r="H99" s="1"/>
      <c r="I99" s="28"/>
      <c r="J99" s="29"/>
      <c r="K99" s="29"/>
      <c r="L99" s="32"/>
      <c r="M99" s="32"/>
      <c r="N99" s="32"/>
      <c r="O99" s="32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75" customHeight="1">
      <c r="A100" s="29"/>
      <c r="B100" s="29"/>
      <c r="C100" s="29"/>
      <c r="D100" s="29"/>
      <c r="E100" s="30"/>
      <c r="F100" s="31"/>
      <c r="G100" s="31"/>
      <c r="H100" s="30"/>
      <c r="I100" s="31"/>
      <c r="J100" s="29"/>
      <c r="K100" s="29"/>
      <c r="L100" s="32"/>
      <c r="M100" s="32"/>
      <c r="N100" s="32"/>
      <c r="O100" s="32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32"/>
      <c r="M101" s="32"/>
      <c r="N101" s="32"/>
      <c r="O101" s="32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75" customHeight="1">
      <c r="A102" s="29"/>
      <c r="B102" s="29"/>
      <c r="C102" s="29"/>
      <c r="D102" s="29"/>
      <c r="E102" s="31"/>
      <c r="F102" s="31"/>
      <c r="G102" s="31"/>
      <c r="H102" s="31"/>
      <c r="I102" s="31"/>
      <c r="J102" s="29"/>
      <c r="K102" s="29"/>
      <c r="L102" s="32"/>
      <c r="M102" s="32"/>
      <c r="N102" s="32"/>
      <c r="O102" s="32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.75" customHeight="1">
      <c r="A103" s="29"/>
      <c r="B103" s="29"/>
      <c r="C103" s="29"/>
      <c r="D103" s="29"/>
      <c r="E103" s="29"/>
      <c r="F103" s="32"/>
      <c r="G103" s="32"/>
      <c r="H103" s="29"/>
      <c r="I103" s="29"/>
      <c r="J103" s="29"/>
      <c r="K103" s="29"/>
      <c r="L103" s="32"/>
      <c r="M103" s="32"/>
      <c r="N103" s="32"/>
      <c r="O103" s="32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32"/>
      <c r="M104" s="32"/>
      <c r="N104" s="32"/>
      <c r="O104" s="32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32"/>
      <c r="M105" s="32"/>
      <c r="N105" s="32"/>
      <c r="O105" s="32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32"/>
      <c r="M106" s="32"/>
      <c r="N106" s="32"/>
      <c r="O106" s="32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32"/>
      <c r="M107" s="32"/>
      <c r="N107" s="32"/>
      <c r="O107" s="32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32"/>
      <c r="M108" s="32"/>
      <c r="N108" s="32"/>
      <c r="O108" s="32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32"/>
      <c r="M109" s="32"/>
      <c r="N109" s="32"/>
      <c r="O109" s="32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32"/>
      <c r="M110" s="32"/>
      <c r="N110" s="32"/>
      <c r="O110" s="32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32"/>
      <c r="M111" s="32"/>
      <c r="N111" s="32"/>
      <c r="O111" s="32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32"/>
      <c r="M112" s="32"/>
      <c r="N112" s="32"/>
      <c r="O112" s="32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32"/>
      <c r="M113" s="32"/>
      <c r="N113" s="32"/>
      <c r="O113" s="32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32"/>
      <c r="M114" s="32"/>
      <c r="N114" s="32"/>
      <c r="O114" s="32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32"/>
      <c r="M115" s="32"/>
      <c r="N115" s="32"/>
      <c r="O115" s="32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32"/>
      <c r="M116" s="32"/>
      <c r="N116" s="32"/>
      <c r="O116" s="32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32"/>
      <c r="M117" s="32"/>
      <c r="N117" s="32"/>
      <c r="O117" s="32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32"/>
      <c r="M118" s="32"/>
      <c r="N118" s="32"/>
      <c r="O118" s="32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32"/>
      <c r="M119" s="32"/>
      <c r="N119" s="32"/>
      <c r="O119" s="32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5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32"/>
      <c r="M120" s="32"/>
      <c r="N120" s="32"/>
      <c r="O120" s="32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5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32"/>
      <c r="M121" s="32"/>
      <c r="N121" s="32"/>
      <c r="O121" s="32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5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32"/>
      <c r="M122" s="32"/>
      <c r="N122" s="32"/>
      <c r="O122" s="32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5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32"/>
      <c r="M123" s="32"/>
      <c r="N123" s="32"/>
      <c r="O123" s="32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5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32"/>
      <c r="M124" s="32"/>
      <c r="N124" s="32"/>
      <c r="O124" s="32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32"/>
      <c r="M125" s="32"/>
      <c r="N125" s="32"/>
      <c r="O125" s="32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5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32"/>
      <c r="M126" s="32"/>
      <c r="N126" s="32"/>
      <c r="O126" s="32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5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32"/>
      <c r="M127" s="32"/>
      <c r="N127" s="32"/>
      <c r="O127" s="32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5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32"/>
      <c r="M128" s="32"/>
      <c r="N128" s="32"/>
      <c r="O128" s="32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5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32"/>
      <c r="M129" s="32"/>
      <c r="N129" s="32"/>
      <c r="O129" s="32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32"/>
      <c r="M130" s="32"/>
      <c r="N130" s="32"/>
      <c r="O130" s="32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32"/>
      <c r="M131" s="32"/>
      <c r="N131" s="32"/>
      <c r="O131" s="32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32"/>
      <c r="M132" s="32"/>
      <c r="N132" s="32"/>
      <c r="O132" s="32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32"/>
      <c r="M133" s="32"/>
      <c r="N133" s="32"/>
      <c r="O133" s="32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32"/>
      <c r="M134" s="32"/>
      <c r="N134" s="32"/>
      <c r="O134" s="32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32"/>
      <c r="M135" s="32"/>
      <c r="N135" s="32"/>
      <c r="O135" s="32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32"/>
      <c r="M136" s="32"/>
      <c r="N136" s="32"/>
      <c r="O136" s="32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32"/>
      <c r="M137" s="32"/>
      <c r="N137" s="32"/>
      <c r="O137" s="32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32"/>
      <c r="M138" s="32"/>
      <c r="N138" s="32"/>
      <c r="O138" s="32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32"/>
      <c r="M139" s="32"/>
      <c r="N139" s="32"/>
      <c r="O139" s="32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32"/>
      <c r="M140" s="32"/>
      <c r="N140" s="32"/>
      <c r="O140" s="32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32"/>
      <c r="M141" s="32"/>
      <c r="N141" s="32"/>
      <c r="O141" s="32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32"/>
      <c r="M142" s="32"/>
      <c r="N142" s="32"/>
      <c r="O142" s="32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32"/>
      <c r="M143" s="32"/>
      <c r="N143" s="32"/>
      <c r="O143" s="32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32"/>
      <c r="M144" s="32"/>
      <c r="N144" s="32"/>
      <c r="O144" s="32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32"/>
      <c r="M145" s="32"/>
      <c r="N145" s="32"/>
      <c r="O145" s="32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32"/>
      <c r="M146" s="32"/>
      <c r="N146" s="32"/>
      <c r="O146" s="32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32"/>
      <c r="M147" s="32"/>
      <c r="N147" s="32"/>
      <c r="O147" s="32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32"/>
      <c r="M148" s="32"/>
      <c r="N148" s="32"/>
      <c r="O148" s="32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32"/>
      <c r="M149" s="32"/>
      <c r="N149" s="32"/>
      <c r="O149" s="32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32"/>
      <c r="M150" s="32"/>
      <c r="N150" s="32"/>
      <c r="O150" s="32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32"/>
      <c r="M151" s="32"/>
      <c r="N151" s="32"/>
      <c r="O151" s="32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32"/>
      <c r="M152" s="32"/>
      <c r="N152" s="32"/>
      <c r="O152" s="32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32"/>
      <c r="M153" s="32"/>
      <c r="N153" s="32"/>
      <c r="O153" s="32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32"/>
      <c r="M154" s="32"/>
      <c r="N154" s="32"/>
      <c r="O154" s="32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32"/>
      <c r="M155" s="32"/>
      <c r="N155" s="32"/>
      <c r="O155" s="32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32"/>
      <c r="M156" s="32"/>
      <c r="N156" s="32"/>
      <c r="O156" s="32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32"/>
      <c r="M157" s="32"/>
      <c r="N157" s="32"/>
      <c r="O157" s="32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32"/>
      <c r="M158" s="32"/>
      <c r="N158" s="32"/>
      <c r="O158" s="32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32"/>
      <c r="M159" s="32"/>
      <c r="N159" s="32"/>
      <c r="O159" s="32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32"/>
      <c r="M160" s="32"/>
      <c r="N160" s="32"/>
      <c r="O160" s="32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32"/>
      <c r="M161" s="32"/>
      <c r="N161" s="32"/>
      <c r="O161" s="32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32"/>
      <c r="M162" s="32"/>
      <c r="N162" s="32"/>
      <c r="O162" s="32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32"/>
      <c r="M163" s="32"/>
      <c r="N163" s="32"/>
      <c r="O163" s="32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32"/>
      <c r="M164" s="32"/>
      <c r="N164" s="32"/>
      <c r="O164" s="32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32"/>
      <c r="M165" s="32"/>
      <c r="N165" s="32"/>
      <c r="O165" s="32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32"/>
      <c r="M166" s="32"/>
      <c r="N166" s="32"/>
      <c r="O166" s="32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32"/>
      <c r="M167" s="32"/>
      <c r="N167" s="32"/>
      <c r="O167" s="32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32"/>
      <c r="M168" s="32"/>
      <c r="N168" s="32"/>
      <c r="O168" s="32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32"/>
      <c r="M169" s="32"/>
      <c r="N169" s="32"/>
      <c r="O169" s="32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32"/>
      <c r="M170" s="32"/>
      <c r="N170" s="32"/>
      <c r="O170" s="32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32"/>
      <c r="M171" s="32"/>
      <c r="N171" s="32"/>
      <c r="O171" s="32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32"/>
      <c r="M172" s="32"/>
      <c r="N172" s="32"/>
      <c r="O172" s="32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32"/>
      <c r="M173" s="32"/>
      <c r="N173" s="32"/>
      <c r="O173" s="32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32"/>
      <c r="M174" s="32"/>
      <c r="N174" s="32"/>
      <c r="O174" s="32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32"/>
      <c r="M175" s="32"/>
      <c r="N175" s="32"/>
      <c r="O175" s="32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32"/>
      <c r="M176" s="32"/>
      <c r="N176" s="32"/>
      <c r="O176" s="32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32"/>
      <c r="M177" s="32"/>
      <c r="N177" s="32"/>
      <c r="O177" s="32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32"/>
      <c r="M178" s="32"/>
      <c r="N178" s="32"/>
      <c r="O178" s="32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32"/>
      <c r="M179" s="32"/>
      <c r="N179" s="32"/>
      <c r="O179" s="32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32"/>
      <c r="M180" s="32"/>
      <c r="N180" s="32"/>
      <c r="O180" s="32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32"/>
      <c r="M181" s="32"/>
      <c r="N181" s="32"/>
      <c r="O181" s="32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32"/>
      <c r="M182" s="32"/>
      <c r="N182" s="32"/>
      <c r="O182" s="32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32"/>
      <c r="M183" s="32"/>
      <c r="N183" s="32"/>
      <c r="O183" s="32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32"/>
      <c r="M184" s="32"/>
      <c r="N184" s="32"/>
      <c r="O184" s="32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32"/>
      <c r="M185" s="32"/>
      <c r="N185" s="32"/>
      <c r="O185" s="32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32"/>
      <c r="M186" s="32"/>
      <c r="N186" s="32"/>
      <c r="O186" s="32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32"/>
      <c r="M187" s="32"/>
      <c r="N187" s="32"/>
      <c r="O187" s="32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32"/>
      <c r="M188" s="32"/>
      <c r="N188" s="32"/>
      <c r="O188" s="32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32"/>
      <c r="M189" s="32"/>
      <c r="N189" s="32"/>
      <c r="O189" s="32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32"/>
      <c r="M190" s="32"/>
      <c r="N190" s="32"/>
      <c r="O190" s="32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32"/>
      <c r="M191" s="32"/>
      <c r="N191" s="32"/>
      <c r="O191" s="32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32"/>
      <c r="M192" s="32"/>
      <c r="N192" s="32"/>
      <c r="O192" s="32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32"/>
      <c r="M193" s="32"/>
      <c r="N193" s="32"/>
      <c r="O193" s="32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32"/>
      <c r="M194" s="32"/>
      <c r="N194" s="32"/>
      <c r="O194" s="32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32"/>
      <c r="M195" s="32"/>
      <c r="N195" s="32"/>
      <c r="O195" s="32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32"/>
      <c r="M196" s="32"/>
      <c r="N196" s="32"/>
      <c r="O196" s="32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32"/>
      <c r="M197" s="32"/>
      <c r="N197" s="32"/>
      <c r="O197" s="32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32"/>
      <c r="M198" s="32"/>
      <c r="N198" s="32"/>
      <c r="O198" s="32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32"/>
      <c r="M199" s="32"/>
      <c r="N199" s="32"/>
      <c r="O199" s="32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32"/>
      <c r="M200" s="32"/>
      <c r="N200" s="32"/>
      <c r="O200" s="32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32"/>
      <c r="M201" s="32"/>
      <c r="N201" s="32"/>
      <c r="O201" s="32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32"/>
      <c r="M202" s="32"/>
      <c r="N202" s="32"/>
      <c r="O202" s="32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32"/>
      <c r="M203" s="32"/>
      <c r="N203" s="32"/>
      <c r="O203" s="32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32"/>
      <c r="M204" s="32"/>
      <c r="N204" s="32"/>
      <c r="O204" s="32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32"/>
      <c r="M205" s="32"/>
      <c r="N205" s="32"/>
      <c r="O205" s="32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32"/>
      <c r="M206" s="32"/>
      <c r="N206" s="32"/>
      <c r="O206" s="32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32"/>
      <c r="M207" s="32"/>
      <c r="N207" s="32"/>
      <c r="O207" s="32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32"/>
      <c r="M208" s="32"/>
      <c r="N208" s="32"/>
      <c r="O208" s="32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32"/>
      <c r="M209" s="32"/>
      <c r="N209" s="32"/>
      <c r="O209" s="32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32"/>
      <c r="M210" s="32"/>
      <c r="N210" s="32"/>
      <c r="O210" s="32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32"/>
      <c r="M211" s="32"/>
      <c r="N211" s="32"/>
      <c r="O211" s="32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32"/>
      <c r="M212" s="32"/>
      <c r="N212" s="32"/>
      <c r="O212" s="32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32"/>
      <c r="M213" s="32"/>
      <c r="N213" s="32"/>
      <c r="O213" s="32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32"/>
      <c r="M214" s="32"/>
      <c r="N214" s="32"/>
      <c r="O214" s="32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32"/>
      <c r="M215" s="32"/>
      <c r="N215" s="32"/>
      <c r="O215" s="32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32"/>
      <c r="M216" s="32"/>
      <c r="N216" s="32"/>
      <c r="O216" s="32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32"/>
      <c r="M217" s="32"/>
      <c r="N217" s="32"/>
      <c r="O217" s="32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32"/>
      <c r="M218" s="32"/>
      <c r="N218" s="32"/>
      <c r="O218" s="32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32"/>
      <c r="M219" s="32"/>
      <c r="N219" s="32"/>
      <c r="O219" s="32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32"/>
      <c r="M220" s="32"/>
      <c r="N220" s="32"/>
      <c r="O220" s="32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32"/>
      <c r="M221" s="32"/>
      <c r="N221" s="32"/>
      <c r="O221" s="32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32"/>
      <c r="M222" s="32"/>
      <c r="N222" s="32"/>
      <c r="O222" s="32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32"/>
      <c r="M223" s="32"/>
      <c r="N223" s="32"/>
      <c r="O223" s="32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32"/>
      <c r="M224" s="32"/>
      <c r="N224" s="32"/>
      <c r="O224" s="32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32"/>
      <c r="M225" s="32"/>
      <c r="N225" s="32"/>
      <c r="O225" s="32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32"/>
      <c r="M226" s="32"/>
      <c r="N226" s="32"/>
      <c r="O226" s="32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32"/>
      <c r="M227" s="32"/>
      <c r="N227" s="32"/>
      <c r="O227" s="32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32"/>
      <c r="M228" s="32"/>
      <c r="N228" s="32"/>
      <c r="O228" s="32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32"/>
      <c r="M229" s="32"/>
      <c r="N229" s="32"/>
      <c r="O229" s="32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32"/>
      <c r="M230" s="32"/>
      <c r="N230" s="32"/>
      <c r="O230" s="32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32"/>
      <c r="M231" s="32"/>
      <c r="N231" s="32"/>
      <c r="O231" s="32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32"/>
      <c r="M232" s="32"/>
      <c r="N232" s="32"/>
      <c r="O232" s="32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32"/>
      <c r="M233" s="32"/>
      <c r="N233" s="32"/>
      <c r="O233" s="32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32"/>
      <c r="M234" s="32"/>
      <c r="N234" s="32"/>
      <c r="O234" s="32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32"/>
      <c r="M235" s="32"/>
      <c r="N235" s="32"/>
      <c r="O235" s="32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32"/>
      <c r="M236" s="32"/>
      <c r="N236" s="32"/>
      <c r="O236" s="32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32"/>
      <c r="M237" s="32"/>
      <c r="N237" s="32"/>
      <c r="O237" s="32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32"/>
      <c r="M238" s="32"/>
      <c r="N238" s="32"/>
      <c r="O238" s="32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32"/>
      <c r="M239" s="32"/>
      <c r="N239" s="32"/>
      <c r="O239" s="32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32"/>
      <c r="M240" s="32"/>
      <c r="N240" s="32"/>
      <c r="O240" s="32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32"/>
      <c r="M241" s="32"/>
      <c r="N241" s="32"/>
      <c r="O241" s="32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32"/>
      <c r="M242" s="32"/>
      <c r="N242" s="32"/>
      <c r="O242" s="32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32"/>
      <c r="M243" s="32"/>
      <c r="N243" s="32"/>
      <c r="O243" s="32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32"/>
      <c r="M244" s="32"/>
      <c r="N244" s="32"/>
      <c r="O244" s="32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32"/>
      <c r="M245" s="32"/>
      <c r="N245" s="32"/>
      <c r="O245" s="32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32"/>
      <c r="M246" s="32"/>
      <c r="N246" s="32"/>
      <c r="O246" s="32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32"/>
      <c r="M247" s="32"/>
      <c r="N247" s="32"/>
      <c r="O247" s="32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32"/>
      <c r="M248" s="32"/>
      <c r="N248" s="32"/>
      <c r="O248" s="32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32"/>
      <c r="M249" s="32"/>
      <c r="N249" s="32"/>
      <c r="O249" s="32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32"/>
      <c r="M250" s="32"/>
      <c r="N250" s="32"/>
      <c r="O250" s="32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32"/>
      <c r="M251" s="32"/>
      <c r="N251" s="32"/>
      <c r="O251" s="32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32"/>
      <c r="M252" s="32"/>
      <c r="N252" s="32"/>
      <c r="O252" s="32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32"/>
      <c r="M253" s="32"/>
      <c r="N253" s="32"/>
      <c r="O253" s="32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32"/>
      <c r="M254" s="32"/>
      <c r="N254" s="32"/>
      <c r="O254" s="32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32"/>
      <c r="M255" s="32"/>
      <c r="N255" s="32"/>
      <c r="O255" s="32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32"/>
      <c r="M256" s="32"/>
      <c r="N256" s="32"/>
      <c r="O256" s="32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32"/>
      <c r="M257" s="32"/>
      <c r="N257" s="32"/>
      <c r="O257" s="32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32"/>
      <c r="M258" s="32"/>
      <c r="N258" s="32"/>
      <c r="O258" s="32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32"/>
      <c r="M259" s="32"/>
      <c r="N259" s="32"/>
      <c r="O259" s="32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32"/>
      <c r="M260" s="32"/>
      <c r="N260" s="32"/>
      <c r="O260" s="32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32"/>
      <c r="M261" s="32"/>
      <c r="N261" s="32"/>
      <c r="O261" s="32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32"/>
      <c r="M262" s="32"/>
      <c r="N262" s="32"/>
      <c r="O262" s="32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32"/>
      <c r="M263" s="32"/>
      <c r="N263" s="32"/>
      <c r="O263" s="32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32"/>
      <c r="M264" s="32"/>
      <c r="N264" s="32"/>
      <c r="O264" s="32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32"/>
      <c r="M265" s="32"/>
      <c r="N265" s="32"/>
      <c r="O265" s="32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32"/>
      <c r="M266" s="32"/>
      <c r="N266" s="32"/>
      <c r="O266" s="32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32"/>
      <c r="M267" s="32"/>
      <c r="N267" s="32"/>
      <c r="O267" s="32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32"/>
      <c r="M268" s="32"/>
      <c r="N268" s="32"/>
      <c r="O268" s="32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32"/>
      <c r="M269" s="32"/>
      <c r="N269" s="32"/>
      <c r="O269" s="32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32"/>
      <c r="M270" s="32"/>
      <c r="N270" s="32"/>
      <c r="O270" s="32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32"/>
      <c r="M271" s="32"/>
      <c r="N271" s="32"/>
      <c r="O271" s="32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32"/>
      <c r="M272" s="32"/>
      <c r="N272" s="32"/>
      <c r="O272" s="32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32"/>
      <c r="M273" s="32"/>
      <c r="N273" s="32"/>
      <c r="O273" s="32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32"/>
      <c r="M274" s="32"/>
      <c r="N274" s="32"/>
      <c r="O274" s="32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32"/>
      <c r="M275" s="32"/>
      <c r="N275" s="32"/>
      <c r="O275" s="32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32"/>
      <c r="M276" s="32"/>
      <c r="N276" s="32"/>
      <c r="O276" s="32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32"/>
      <c r="M277" s="32"/>
      <c r="N277" s="32"/>
      <c r="O277" s="32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32"/>
      <c r="M278" s="32"/>
      <c r="N278" s="32"/>
      <c r="O278" s="32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32"/>
      <c r="M279" s="32"/>
      <c r="N279" s="32"/>
      <c r="O279" s="32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32"/>
      <c r="M280" s="32"/>
      <c r="N280" s="32"/>
      <c r="O280" s="32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32"/>
      <c r="M281" s="32"/>
      <c r="N281" s="32"/>
      <c r="O281" s="32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32"/>
      <c r="M282" s="32"/>
      <c r="N282" s="32"/>
      <c r="O282" s="32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32"/>
      <c r="M283" s="32"/>
      <c r="N283" s="32"/>
      <c r="O283" s="32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32"/>
      <c r="M284" s="32"/>
      <c r="N284" s="32"/>
      <c r="O284" s="32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32"/>
      <c r="M285" s="32"/>
      <c r="N285" s="32"/>
      <c r="O285" s="32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32"/>
      <c r="M286" s="32"/>
      <c r="N286" s="32"/>
      <c r="O286" s="32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32"/>
      <c r="M287" s="32"/>
      <c r="N287" s="32"/>
      <c r="O287" s="32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32"/>
      <c r="M288" s="32"/>
      <c r="N288" s="32"/>
      <c r="O288" s="32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32"/>
      <c r="M289" s="32"/>
      <c r="N289" s="32"/>
      <c r="O289" s="32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32"/>
      <c r="M290" s="32"/>
      <c r="N290" s="32"/>
      <c r="O290" s="32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32"/>
      <c r="M291" s="32"/>
      <c r="N291" s="32"/>
      <c r="O291" s="32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32"/>
      <c r="M292" s="32"/>
      <c r="N292" s="32"/>
      <c r="O292" s="32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32"/>
      <c r="M293" s="32"/>
      <c r="N293" s="32"/>
      <c r="O293" s="32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32"/>
      <c r="M294" s="32"/>
      <c r="N294" s="32"/>
      <c r="O294" s="32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32"/>
      <c r="M295" s="32"/>
      <c r="N295" s="32"/>
      <c r="O295" s="32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32"/>
      <c r="M296" s="32"/>
      <c r="N296" s="32"/>
      <c r="O296" s="32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32"/>
      <c r="M297" s="32"/>
      <c r="N297" s="32"/>
      <c r="O297" s="32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32"/>
      <c r="M298" s="32"/>
      <c r="N298" s="32"/>
      <c r="O298" s="32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32"/>
      <c r="M299" s="32"/>
      <c r="N299" s="32"/>
      <c r="O299" s="32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32"/>
      <c r="M300" s="32"/>
      <c r="N300" s="32"/>
      <c r="O300" s="32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32"/>
      <c r="M301" s="32"/>
      <c r="N301" s="32"/>
      <c r="O301" s="32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32"/>
      <c r="M302" s="32"/>
      <c r="N302" s="32"/>
      <c r="O302" s="32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32"/>
      <c r="M303" s="32"/>
      <c r="N303" s="32"/>
      <c r="O303" s="32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32"/>
      <c r="M304" s="32"/>
      <c r="N304" s="32"/>
      <c r="O304" s="32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32"/>
      <c r="M305" s="32"/>
      <c r="N305" s="32"/>
      <c r="O305" s="32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32"/>
      <c r="M306" s="32"/>
      <c r="N306" s="32"/>
      <c r="O306" s="32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32"/>
      <c r="M307" s="32"/>
      <c r="N307" s="32"/>
      <c r="O307" s="32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32"/>
      <c r="M308" s="32"/>
      <c r="N308" s="32"/>
      <c r="O308" s="32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32"/>
      <c r="M309" s="32"/>
      <c r="N309" s="32"/>
      <c r="O309" s="32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32"/>
      <c r="M310" s="32"/>
      <c r="N310" s="32"/>
      <c r="O310" s="32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32"/>
      <c r="M311" s="32"/>
      <c r="N311" s="32"/>
      <c r="O311" s="32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32"/>
      <c r="M312" s="32"/>
      <c r="N312" s="32"/>
      <c r="O312" s="32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32"/>
      <c r="M313" s="32"/>
      <c r="N313" s="32"/>
      <c r="O313" s="32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32"/>
      <c r="M314" s="32"/>
      <c r="N314" s="32"/>
      <c r="O314" s="32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32"/>
      <c r="M315" s="32"/>
      <c r="N315" s="32"/>
      <c r="O315" s="32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32"/>
      <c r="M316" s="32"/>
      <c r="N316" s="32"/>
      <c r="O316" s="32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32"/>
      <c r="M317" s="32"/>
      <c r="N317" s="32"/>
      <c r="O317" s="32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32"/>
      <c r="M318" s="32"/>
      <c r="N318" s="32"/>
      <c r="O318" s="32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32"/>
      <c r="M319" s="32"/>
      <c r="N319" s="32"/>
      <c r="O319" s="32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32"/>
      <c r="M320" s="32"/>
      <c r="N320" s="32"/>
      <c r="O320" s="32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32"/>
      <c r="M321" s="32"/>
      <c r="N321" s="32"/>
      <c r="O321" s="32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32"/>
      <c r="M322" s="32"/>
      <c r="N322" s="32"/>
      <c r="O322" s="32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32"/>
      <c r="M323" s="32"/>
      <c r="N323" s="32"/>
      <c r="O323" s="32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32"/>
      <c r="M324" s="32"/>
      <c r="N324" s="32"/>
      <c r="O324" s="32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32"/>
      <c r="M325" s="32"/>
      <c r="N325" s="32"/>
      <c r="O325" s="32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32"/>
      <c r="M326" s="32"/>
      <c r="N326" s="32"/>
      <c r="O326" s="32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32"/>
      <c r="M327" s="32"/>
      <c r="N327" s="32"/>
      <c r="O327" s="32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32"/>
      <c r="M328" s="32"/>
      <c r="N328" s="32"/>
      <c r="O328" s="32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32"/>
      <c r="M329" s="32"/>
      <c r="N329" s="32"/>
      <c r="O329" s="32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32"/>
      <c r="M330" s="32"/>
      <c r="N330" s="32"/>
      <c r="O330" s="32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32"/>
      <c r="M331" s="32"/>
      <c r="N331" s="32"/>
      <c r="O331" s="32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32"/>
      <c r="M332" s="32"/>
      <c r="N332" s="32"/>
      <c r="O332" s="32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32"/>
      <c r="M333" s="32"/>
      <c r="N333" s="32"/>
      <c r="O333" s="32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32"/>
      <c r="M334" s="32"/>
      <c r="N334" s="32"/>
      <c r="O334" s="32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32"/>
      <c r="M335" s="32"/>
      <c r="N335" s="32"/>
      <c r="O335" s="32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32"/>
      <c r="M336" s="32"/>
      <c r="N336" s="32"/>
      <c r="O336" s="32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32"/>
      <c r="M337" s="32"/>
      <c r="N337" s="32"/>
      <c r="O337" s="32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32"/>
      <c r="M338" s="32"/>
      <c r="N338" s="32"/>
      <c r="O338" s="32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32"/>
      <c r="M339" s="32"/>
      <c r="N339" s="32"/>
      <c r="O339" s="32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32"/>
      <c r="M340" s="32"/>
      <c r="N340" s="32"/>
      <c r="O340" s="32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32"/>
      <c r="M341" s="32"/>
      <c r="N341" s="32"/>
      <c r="O341" s="32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32"/>
      <c r="M342" s="32"/>
      <c r="N342" s="32"/>
      <c r="O342" s="32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32"/>
      <c r="M343" s="32"/>
      <c r="N343" s="32"/>
      <c r="O343" s="32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32"/>
      <c r="M344" s="32"/>
      <c r="N344" s="32"/>
      <c r="O344" s="32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32"/>
      <c r="M345" s="32"/>
      <c r="N345" s="32"/>
      <c r="O345" s="32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32"/>
      <c r="M346" s="32"/>
      <c r="N346" s="32"/>
      <c r="O346" s="32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32"/>
      <c r="M347" s="32"/>
      <c r="N347" s="32"/>
      <c r="O347" s="32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32"/>
      <c r="M348" s="32"/>
      <c r="N348" s="32"/>
      <c r="O348" s="32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32"/>
      <c r="M349" s="32"/>
      <c r="N349" s="32"/>
      <c r="O349" s="32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32"/>
      <c r="M350" s="32"/>
      <c r="N350" s="32"/>
      <c r="O350" s="32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32"/>
      <c r="M351" s="32"/>
      <c r="N351" s="32"/>
      <c r="O351" s="32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32"/>
      <c r="M352" s="32"/>
      <c r="N352" s="32"/>
      <c r="O352" s="32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32"/>
      <c r="M353" s="32"/>
      <c r="N353" s="32"/>
      <c r="O353" s="32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32"/>
      <c r="M354" s="32"/>
      <c r="N354" s="32"/>
      <c r="O354" s="32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32"/>
      <c r="M355" s="32"/>
      <c r="N355" s="32"/>
      <c r="O355" s="32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32"/>
      <c r="M356" s="32"/>
      <c r="N356" s="32"/>
      <c r="O356" s="32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32"/>
      <c r="M357" s="32"/>
      <c r="N357" s="32"/>
      <c r="O357" s="32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32"/>
      <c r="M358" s="32"/>
      <c r="N358" s="32"/>
      <c r="O358" s="32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32"/>
      <c r="M359" s="32"/>
      <c r="N359" s="32"/>
      <c r="O359" s="32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32"/>
      <c r="M360" s="32"/>
      <c r="N360" s="32"/>
      <c r="O360" s="32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32"/>
      <c r="M361" s="32"/>
      <c r="N361" s="32"/>
      <c r="O361" s="32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32"/>
      <c r="M362" s="32"/>
      <c r="N362" s="32"/>
      <c r="O362" s="32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32"/>
      <c r="M363" s="32"/>
      <c r="N363" s="32"/>
      <c r="O363" s="32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32"/>
      <c r="M364" s="32"/>
      <c r="N364" s="32"/>
      <c r="O364" s="32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32"/>
      <c r="M365" s="32"/>
      <c r="N365" s="32"/>
      <c r="O365" s="32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32"/>
      <c r="M366" s="32"/>
      <c r="N366" s="32"/>
      <c r="O366" s="32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32"/>
      <c r="M367" s="32"/>
      <c r="N367" s="32"/>
      <c r="O367" s="32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32"/>
      <c r="M368" s="32"/>
      <c r="N368" s="32"/>
      <c r="O368" s="32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32"/>
      <c r="M369" s="32"/>
      <c r="N369" s="32"/>
      <c r="O369" s="32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32"/>
      <c r="M370" s="32"/>
      <c r="N370" s="32"/>
      <c r="O370" s="32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32"/>
      <c r="M371" s="32"/>
      <c r="N371" s="32"/>
      <c r="O371" s="32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32"/>
      <c r="M372" s="32"/>
      <c r="N372" s="32"/>
      <c r="O372" s="32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32"/>
      <c r="M373" s="32"/>
      <c r="N373" s="32"/>
      <c r="O373" s="32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32"/>
      <c r="M374" s="32"/>
      <c r="N374" s="32"/>
      <c r="O374" s="32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32"/>
      <c r="M375" s="32"/>
      <c r="N375" s="32"/>
      <c r="O375" s="32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32"/>
      <c r="M376" s="32"/>
      <c r="N376" s="32"/>
      <c r="O376" s="32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32"/>
      <c r="M377" s="32"/>
      <c r="N377" s="32"/>
      <c r="O377" s="32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32"/>
      <c r="M378" s="32"/>
      <c r="N378" s="32"/>
      <c r="O378" s="32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32"/>
      <c r="M379" s="32"/>
      <c r="N379" s="32"/>
      <c r="O379" s="32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32"/>
      <c r="M380" s="32"/>
      <c r="N380" s="32"/>
      <c r="O380" s="32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32"/>
      <c r="M381" s="32"/>
      <c r="N381" s="32"/>
      <c r="O381" s="32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32"/>
      <c r="M382" s="32"/>
      <c r="N382" s="32"/>
      <c r="O382" s="32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32"/>
      <c r="M383" s="32"/>
      <c r="N383" s="32"/>
      <c r="O383" s="32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32"/>
      <c r="M384" s="32"/>
      <c r="N384" s="32"/>
      <c r="O384" s="32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32"/>
      <c r="M385" s="32"/>
      <c r="N385" s="32"/>
      <c r="O385" s="32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32"/>
      <c r="M386" s="32"/>
      <c r="N386" s="32"/>
      <c r="O386" s="32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32"/>
      <c r="M387" s="32"/>
      <c r="N387" s="32"/>
      <c r="O387" s="32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32"/>
      <c r="M388" s="32"/>
      <c r="N388" s="32"/>
      <c r="O388" s="32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32"/>
      <c r="M389" s="32"/>
      <c r="N389" s="32"/>
      <c r="O389" s="32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32"/>
      <c r="M390" s="32"/>
      <c r="N390" s="32"/>
      <c r="O390" s="32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32"/>
      <c r="M391" s="32"/>
      <c r="N391" s="32"/>
      <c r="O391" s="32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32"/>
      <c r="M392" s="32"/>
      <c r="N392" s="32"/>
      <c r="O392" s="32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32"/>
      <c r="M393" s="32"/>
      <c r="N393" s="32"/>
      <c r="O393" s="32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32"/>
      <c r="M394" s="32"/>
      <c r="N394" s="32"/>
      <c r="O394" s="32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32"/>
      <c r="M395" s="32"/>
      <c r="N395" s="32"/>
      <c r="O395" s="32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32"/>
      <c r="M396" s="32"/>
      <c r="N396" s="32"/>
      <c r="O396" s="32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32"/>
      <c r="M397" s="32"/>
      <c r="N397" s="32"/>
      <c r="O397" s="32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32"/>
      <c r="M398" s="32"/>
      <c r="N398" s="32"/>
      <c r="O398" s="32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32"/>
      <c r="M399" s="32"/>
      <c r="N399" s="32"/>
      <c r="O399" s="32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32"/>
      <c r="M400" s="32"/>
      <c r="N400" s="32"/>
      <c r="O400" s="32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32"/>
      <c r="M401" s="32"/>
      <c r="N401" s="32"/>
      <c r="O401" s="32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32"/>
      <c r="M402" s="32"/>
      <c r="N402" s="32"/>
      <c r="O402" s="32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32"/>
      <c r="M403" s="32"/>
      <c r="N403" s="32"/>
      <c r="O403" s="32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32"/>
      <c r="M404" s="32"/>
      <c r="N404" s="32"/>
      <c r="O404" s="32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32"/>
      <c r="M405" s="32"/>
      <c r="N405" s="32"/>
      <c r="O405" s="32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32"/>
      <c r="M406" s="32"/>
      <c r="N406" s="32"/>
      <c r="O406" s="32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32"/>
      <c r="M407" s="32"/>
      <c r="N407" s="32"/>
      <c r="O407" s="32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32"/>
      <c r="M408" s="32"/>
      <c r="N408" s="32"/>
      <c r="O408" s="32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32"/>
      <c r="M409" s="32"/>
      <c r="N409" s="32"/>
      <c r="O409" s="32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32"/>
      <c r="M410" s="32"/>
      <c r="N410" s="32"/>
      <c r="O410" s="32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32"/>
      <c r="M411" s="32"/>
      <c r="N411" s="32"/>
      <c r="O411" s="32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32"/>
      <c r="M412" s="32"/>
      <c r="N412" s="32"/>
      <c r="O412" s="32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32"/>
      <c r="M413" s="32"/>
      <c r="N413" s="32"/>
      <c r="O413" s="32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32"/>
      <c r="M414" s="32"/>
      <c r="N414" s="32"/>
      <c r="O414" s="32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32"/>
      <c r="M415" s="32"/>
      <c r="N415" s="32"/>
      <c r="O415" s="32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32"/>
      <c r="M416" s="32"/>
      <c r="N416" s="32"/>
      <c r="O416" s="32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32"/>
      <c r="M417" s="32"/>
      <c r="N417" s="32"/>
      <c r="O417" s="32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32"/>
      <c r="M418" s="32"/>
      <c r="N418" s="32"/>
      <c r="O418" s="32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32"/>
      <c r="M419" s="32"/>
      <c r="N419" s="32"/>
      <c r="O419" s="32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32"/>
      <c r="M420" s="32"/>
      <c r="N420" s="32"/>
      <c r="O420" s="32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32"/>
      <c r="M421" s="32"/>
      <c r="N421" s="32"/>
      <c r="O421" s="32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32"/>
      <c r="M422" s="32"/>
      <c r="N422" s="32"/>
      <c r="O422" s="32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32"/>
      <c r="M423" s="32"/>
      <c r="N423" s="32"/>
      <c r="O423" s="32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32"/>
      <c r="M424" s="32"/>
      <c r="N424" s="32"/>
      <c r="O424" s="32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32"/>
      <c r="M425" s="32"/>
      <c r="N425" s="32"/>
      <c r="O425" s="32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32"/>
      <c r="M426" s="32"/>
      <c r="N426" s="32"/>
      <c r="O426" s="32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32"/>
      <c r="M427" s="32"/>
      <c r="N427" s="32"/>
      <c r="O427" s="32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32"/>
      <c r="M428" s="32"/>
      <c r="N428" s="32"/>
      <c r="O428" s="32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32"/>
      <c r="M429" s="32"/>
      <c r="N429" s="32"/>
      <c r="O429" s="32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32"/>
      <c r="M430" s="32"/>
      <c r="N430" s="32"/>
      <c r="O430" s="32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32"/>
      <c r="M431" s="32"/>
      <c r="N431" s="32"/>
      <c r="O431" s="32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32"/>
      <c r="M432" s="32"/>
      <c r="N432" s="32"/>
      <c r="O432" s="32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32"/>
      <c r="M433" s="32"/>
      <c r="N433" s="32"/>
      <c r="O433" s="32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32"/>
      <c r="M434" s="32"/>
      <c r="N434" s="32"/>
      <c r="O434" s="32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32"/>
      <c r="M435" s="32"/>
      <c r="N435" s="32"/>
      <c r="O435" s="32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32"/>
      <c r="M436" s="32"/>
      <c r="N436" s="32"/>
      <c r="O436" s="32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32"/>
      <c r="M437" s="32"/>
      <c r="N437" s="32"/>
      <c r="O437" s="32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32"/>
      <c r="M438" s="32"/>
      <c r="N438" s="32"/>
      <c r="O438" s="32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32"/>
      <c r="M439" s="32"/>
      <c r="N439" s="32"/>
      <c r="O439" s="32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32"/>
      <c r="M440" s="32"/>
      <c r="N440" s="32"/>
      <c r="O440" s="32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32"/>
      <c r="M441" s="32"/>
      <c r="N441" s="32"/>
      <c r="O441" s="32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32"/>
      <c r="M442" s="32"/>
      <c r="N442" s="32"/>
      <c r="O442" s="32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32"/>
      <c r="M443" s="32"/>
      <c r="N443" s="32"/>
      <c r="O443" s="32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32"/>
      <c r="M444" s="32"/>
      <c r="N444" s="32"/>
      <c r="O444" s="32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32"/>
      <c r="M445" s="32"/>
      <c r="N445" s="32"/>
      <c r="O445" s="32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32"/>
      <c r="M446" s="32"/>
      <c r="N446" s="32"/>
      <c r="O446" s="32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32"/>
      <c r="M447" s="32"/>
      <c r="N447" s="32"/>
      <c r="O447" s="32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32"/>
      <c r="M448" s="32"/>
      <c r="N448" s="32"/>
      <c r="O448" s="32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32"/>
      <c r="M449" s="32"/>
      <c r="N449" s="32"/>
      <c r="O449" s="32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32"/>
      <c r="M450" s="32"/>
      <c r="N450" s="32"/>
      <c r="O450" s="32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32"/>
      <c r="M451" s="32"/>
      <c r="N451" s="32"/>
      <c r="O451" s="32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32"/>
      <c r="M452" s="32"/>
      <c r="N452" s="32"/>
      <c r="O452" s="32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32"/>
      <c r="M453" s="32"/>
      <c r="N453" s="32"/>
      <c r="O453" s="32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32"/>
      <c r="M454" s="32"/>
      <c r="N454" s="32"/>
      <c r="O454" s="32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32"/>
      <c r="M455" s="32"/>
      <c r="N455" s="32"/>
      <c r="O455" s="32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32"/>
      <c r="M456" s="32"/>
      <c r="N456" s="32"/>
      <c r="O456" s="32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32"/>
      <c r="M457" s="32"/>
      <c r="N457" s="32"/>
      <c r="O457" s="32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32"/>
      <c r="M458" s="32"/>
      <c r="N458" s="32"/>
      <c r="O458" s="32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32"/>
      <c r="M459" s="32"/>
      <c r="N459" s="32"/>
      <c r="O459" s="32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32"/>
      <c r="M460" s="32"/>
      <c r="N460" s="32"/>
      <c r="O460" s="32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32"/>
      <c r="M461" s="32"/>
      <c r="N461" s="32"/>
      <c r="O461" s="32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32"/>
      <c r="M462" s="32"/>
      <c r="N462" s="32"/>
      <c r="O462" s="32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32"/>
      <c r="M463" s="32"/>
      <c r="N463" s="32"/>
      <c r="O463" s="32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32"/>
      <c r="M464" s="32"/>
      <c r="N464" s="32"/>
      <c r="O464" s="32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32"/>
      <c r="M465" s="32"/>
      <c r="N465" s="32"/>
      <c r="O465" s="32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32"/>
      <c r="M466" s="32"/>
      <c r="N466" s="32"/>
      <c r="O466" s="32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32"/>
      <c r="M467" s="32"/>
      <c r="N467" s="32"/>
      <c r="O467" s="32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32"/>
      <c r="M468" s="32"/>
      <c r="N468" s="32"/>
      <c r="O468" s="32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32"/>
      <c r="M469" s="32"/>
      <c r="N469" s="32"/>
      <c r="O469" s="32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32"/>
      <c r="M470" s="32"/>
      <c r="N470" s="32"/>
      <c r="O470" s="32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32"/>
      <c r="M471" s="32"/>
      <c r="N471" s="32"/>
      <c r="O471" s="32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32"/>
      <c r="M472" s="32"/>
      <c r="N472" s="32"/>
      <c r="O472" s="32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32"/>
      <c r="M473" s="32"/>
      <c r="N473" s="32"/>
      <c r="O473" s="32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32"/>
      <c r="M474" s="32"/>
      <c r="N474" s="32"/>
      <c r="O474" s="32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32"/>
      <c r="M475" s="32"/>
      <c r="N475" s="32"/>
      <c r="O475" s="32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32"/>
      <c r="M476" s="32"/>
      <c r="N476" s="32"/>
      <c r="O476" s="32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32"/>
      <c r="M477" s="32"/>
      <c r="N477" s="32"/>
      <c r="O477" s="32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32"/>
      <c r="M478" s="32"/>
      <c r="N478" s="32"/>
      <c r="O478" s="32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32"/>
      <c r="M479" s="32"/>
      <c r="N479" s="32"/>
      <c r="O479" s="32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32"/>
      <c r="M480" s="32"/>
      <c r="N480" s="32"/>
      <c r="O480" s="32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32"/>
      <c r="M481" s="32"/>
      <c r="N481" s="32"/>
      <c r="O481" s="32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32"/>
      <c r="M482" s="32"/>
      <c r="N482" s="32"/>
      <c r="O482" s="32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32"/>
      <c r="M483" s="32"/>
      <c r="N483" s="32"/>
      <c r="O483" s="32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32"/>
      <c r="M484" s="32"/>
      <c r="N484" s="32"/>
      <c r="O484" s="32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32"/>
      <c r="M485" s="32"/>
      <c r="N485" s="32"/>
      <c r="O485" s="32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32"/>
      <c r="M486" s="32"/>
      <c r="N486" s="32"/>
      <c r="O486" s="32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32"/>
      <c r="M487" s="32"/>
      <c r="N487" s="32"/>
      <c r="O487" s="32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32"/>
      <c r="M488" s="32"/>
      <c r="N488" s="32"/>
      <c r="O488" s="32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32"/>
      <c r="M489" s="32"/>
      <c r="N489" s="32"/>
      <c r="O489" s="32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32"/>
      <c r="M490" s="32"/>
      <c r="N490" s="32"/>
      <c r="O490" s="32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32"/>
      <c r="M491" s="32"/>
      <c r="N491" s="32"/>
      <c r="O491" s="32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32"/>
      <c r="M492" s="32"/>
      <c r="N492" s="32"/>
      <c r="O492" s="32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32"/>
      <c r="M493" s="32"/>
      <c r="N493" s="32"/>
      <c r="O493" s="32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32"/>
      <c r="M494" s="32"/>
      <c r="N494" s="32"/>
      <c r="O494" s="32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32"/>
      <c r="M495" s="32"/>
      <c r="N495" s="32"/>
      <c r="O495" s="32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32"/>
      <c r="M496" s="32"/>
      <c r="N496" s="32"/>
      <c r="O496" s="32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32"/>
      <c r="M497" s="32"/>
      <c r="N497" s="32"/>
      <c r="O497" s="32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32"/>
      <c r="M498" s="32"/>
      <c r="N498" s="32"/>
      <c r="O498" s="32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32"/>
      <c r="M499" s="32"/>
      <c r="N499" s="32"/>
      <c r="O499" s="32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32"/>
      <c r="M500" s="32"/>
      <c r="N500" s="32"/>
      <c r="O500" s="32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32"/>
      <c r="M501" s="32"/>
      <c r="N501" s="32"/>
      <c r="O501" s="32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32"/>
      <c r="M502" s="32"/>
      <c r="N502" s="32"/>
      <c r="O502" s="32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32"/>
      <c r="M503" s="32"/>
      <c r="N503" s="32"/>
      <c r="O503" s="32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32"/>
      <c r="M504" s="32"/>
      <c r="N504" s="32"/>
      <c r="O504" s="32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32"/>
      <c r="M505" s="32"/>
      <c r="N505" s="32"/>
      <c r="O505" s="32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32"/>
      <c r="M506" s="32"/>
      <c r="N506" s="32"/>
      <c r="O506" s="32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32"/>
      <c r="M507" s="32"/>
      <c r="N507" s="32"/>
      <c r="O507" s="32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32"/>
      <c r="M508" s="32"/>
      <c r="N508" s="32"/>
      <c r="O508" s="32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32"/>
      <c r="M509" s="32"/>
      <c r="N509" s="32"/>
      <c r="O509" s="32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32"/>
      <c r="M510" s="32"/>
      <c r="N510" s="32"/>
      <c r="O510" s="32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32"/>
      <c r="M511" s="32"/>
      <c r="N511" s="32"/>
      <c r="O511" s="32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32"/>
      <c r="M512" s="32"/>
      <c r="N512" s="32"/>
      <c r="O512" s="32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32"/>
      <c r="M513" s="32"/>
      <c r="N513" s="32"/>
      <c r="O513" s="32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32"/>
      <c r="M514" s="32"/>
      <c r="N514" s="32"/>
      <c r="O514" s="32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32"/>
      <c r="M515" s="32"/>
      <c r="N515" s="32"/>
      <c r="O515" s="32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32"/>
      <c r="M516" s="32"/>
      <c r="N516" s="32"/>
      <c r="O516" s="32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32"/>
      <c r="M517" s="32"/>
      <c r="N517" s="32"/>
      <c r="O517" s="32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32"/>
      <c r="M518" s="32"/>
      <c r="N518" s="32"/>
      <c r="O518" s="32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32"/>
      <c r="M519" s="32"/>
      <c r="N519" s="32"/>
      <c r="O519" s="32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32"/>
      <c r="M520" s="32"/>
      <c r="N520" s="32"/>
      <c r="O520" s="32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32"/>
      <c r="M521" s="32"/>
      <c r="N521" s="32"/>
      <c r="O521" s="32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32"/>
      <c r="M522" s="32"/>
      <c r="N522" s="32"/>
      <c r="O522" s="32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32"/>
      <c r="M523" s="32"/>
      <c r="N523" s="32"/>
      <c r="O523" s="32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32"/>
      <c r="M524" s="32"/>
      <c r="N524" s="32"/>
      <c r="O524" s="32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32"/>
      <c r="M525" s="32"/>
      <c r="N525" s="32"/>
      <c r="O525" s="32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32"/>
      <c r="M526" s="32"/>
      <c r="N526" s="32"/>
      <c r="O526" s="32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32"/>
      <c r="M527" s="32"/>
      <c r="N527" s="32"/>
      <c r="O527" s="32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32"/>
      <c r="M528" s="32"/>
      <c r="N528" s="32"/>
      <c r="O528" s="32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32"/>
      <c r="M529" s="32"/>
      <c r="N529" s="32"/>
      <c r="O529" s="32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32"/>
      <c r="M530" s="32"/>
      <c r="N530" s="32"/>
      <c r="O530" s="32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32"/>
      <c r="M531" s="32"/>
      <c r="N531" s="32"/>
      <c r="O531" s="32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32"/>
      <c r="M532" s="32"/>
      <c r="N532" s="32"/>
      <c r="O532" s="32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32"/>
      <c r="M533" s="32"/>
      <c r="N533" s="32"/>
      <c r="O533" s="32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32"/>
      <c r="M534" s="32"/>
      <c r="N534" s="32"/>
      <c r="O534" s="32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32"/>
      <c r="M535" s="32"/>
      <c r="N535" s="32"/>
      <c r="O535" s="32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32"/>
      <c r="M536" s="32"/>
      <c r="N536" s="32"/>
      <c r="O536" s="32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32"/>
      <c r="M537" s="32"/>
      <c r="N537" s="32"/>
      <c r="O537" s="32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32"/>
      <c r="M538" s="32"/>
      <c r="N538" s="32"/>
      <c r="O538" s="32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32"/>
      <c r="M539" s="32"/>
      <c r="N539" s="32"/>
      <c r="O539" s="32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32"/>
      <c r="M540" s="32"/>
      <c r="N540" s="32"/>
      <c r="O540" s="32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32"/>
      <c r="M541" s="32"/>
      <c r="N541" s="32"/>
      <c r="O541" s="32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32"/>
      <c r="M542" s="32"/>
      <c r="N542" s="32"/>
      <c r="O542" s="32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32"/>
      <c r="M543" s="32"/>
      <c r="N543" s="32"/>
      <c r="O543" s="32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32"/>
      <c r="M544" s="32"/>
      <c r="N544" s="32"/>
      <c r="O544" s="32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32"/>
      <c r="M545" s="32"/>
      <c r="N545" s="32"/>
      <c r="O545" s="32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32"/>
      <c r="M546" s="32"/>
      <c r="N546" s="32"/>
      <c r="O546" s="32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32"/>
      <c r="M547" s="32"/>
      <c r="N547" s="32"/>
      <c r="O547" s="32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32"/>
      <c r="M548" s="32"/>
      <c r="N548" s="32"/>
      <c r="O548" s="32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32"/>
      <c r="M549" s="32"/>
      <c r="N549" s="32"/>
      <c r="O549" s="32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32"/>
      <c r="M550" s="32"/>
      <c r="N550" s="32"/>
      <c r="O550" s="32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32"/>
      <c r="M551" s="32"/>
      <c r="N551" s="32"/>
      <c r="O551" s="32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32"/>
      <c r="M552" s="32"/>
      <c r="N552" s="32"/>
      <c r="O552" s="32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32"/>
      <c r="M553" s="32"/>
      <c r="N553" s="32"/>
      <c r="O553" s="32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32"/>
      <c r="M554" s="32"/>
      <c r="N554" s="32"/>
      <c r="O554" s="32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32"/>
      <c r="M555" s="32"/>
      <c r="N555" s="32"/>
      <c r="O555" s="32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32"/>
      <c r="M556" s="32"/>
      <c r="N556" s="32"/>
      <c r="O556" s="32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32"/>
      <c r="M557" s="32"/>
      <c r="N557" s="32"/>
      <c r="O557" s="32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32"/>
      <c r="M558" s="32"/>
      <c r="N558" s="32"/>
      <c r="O558" s="32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32"/>
      <c r="M559" s="32"/>
      <c r="N559" s="32"/>
      <c r="O559" s="32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32"/>
      <c r="M560" s="32"/>
      <c r="N560" s="32"/>
      <c r="O560" s="32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32"/>
      <c r="M561" s="32"/>
      <c r="N561" s="32"/>
      <c r="O561" s="32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32"/>
      <c r="M562" s="32"/>
      <c r="N562" s="32"/>
      <c r="O562" s="32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32"/>
      <c r="M563" s="32"/>
      <c r="N563" s="32"/>
      <c r="O563" s="32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32"/>
      <c r="M564" s="32"/>
      <c r="N564" s="32"/>
      <c r="O564" s="32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32"/>
      <c r="M565" s="32"/>
      <c r="N565" s="32"/>
      <c r="O565" s="32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32"/>
      <c r="M566" s="32"/>
      <c r="N566" s="32"/>
      <c r="O566" s="32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32"/>
      <c r="M567" s="32"/>
      <c r="N567" s="32"/>
      <c r="O567" s="32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32"/>
      <c r="M568" s="32"/>
      <c r="N568" s="32"/>
      <c r="O568" s="32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32"/>
      <c r="M569" s="32"/>
      <c r="N569" s="32"/>
      <c r="O569" s="32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32"/>
      <c r="M570" s="32"/>
      <c r="N570" s="32"/>
      <c r="O570" s="32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32"/>
      <c r="M571" s="32"/>
      <c r="N571" s="32"/>
      <c r="O571" s="32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32"/>
      <c r="M572" s="32"/>
      <c r="N572" s="32"/>
      <c r="O572" s="32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32"/>
      <c r="M573" s="32"/>
      <c r="N573" s="32"/>
      <c r="O573" s="32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32"/>
      <c r="M574" s="32"/>
      <c r="N574" s="32"/>
      <c r="O574" s="32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32"/>
      <c r="M575" s="32"/>
      <c r="N575" s="32"/>
      <c r="O575" s="32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32"/>
      <c r="M576" s="32"/>
      <c r="N576" s="32"/>
      <c r="O576" s="32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32"/>
      <c r="M577" s="32"/>
      <c r="N577" s="32"/>
      <c r="O577" s="32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32"/>
      <c r="M578" s="32"/>
      <c r="N578" s="32"/>
      <c r="O578" s="32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32"/>
      <c r="M579" s="32"/>
      <c r="N579" s="32"/>
      <c r="O579" s="32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32"/>
      <c r="M580" s="32"/>
      <c r="N580" s="32"/>
      <c r="O580" s="32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32"/>
      <c r="M581" s="32"/>
      <c r="N581" s="32"/>
      <c r="O581" s="32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32"/>
      <c r="M582" s="32"/>
      <c r="N582" s="32"/>
      <c r="O582" s="32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32"/>
      <c r="M583" s="32"/>
      <c r="N583" s="32"/>
      <c r="O583" s="32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32"/>
      <c r="M584" s="32"/>
      <c r="N584" s="32"/>
      <c r="O584" s="32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32"/>
      <c r="M585" s="32"/>
      <c r="N585" s="32"/>
      <c r="O585" s="32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32"/>
      <c r="M586" s="32"/>
      <c r="N586" s="32"/>
      <c r="O586" s="32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32"/>
      <c r="M587" s="32"/>
      <c r="N587" s="32"/>
      <c r="O587" s="32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32"/>
      <c r="M588" s="32"/>
      <c r="N588" s="32"/>
      <c r="O588" s="32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32"/>
      <c r="M589" s="32"/>
      <c r="N589" s="32"/>
      <c r="O589" s="32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32"/>
      <c r="M590" s="32"/>
      <c r="N590" s="32"/>
      <c r="O590" s="32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32"/>
      <c r="M591" s="32"/>
      <c r="N591" s="32"/>
      <c r="O591" s="32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32"/>
      <c r="M592" s="32"/>
      <c r="N592" s="32"/>
      <c r="O592" s="32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32"/>
      <c r="M593" s="32"/>
      <c r="N593" s="32"/>
      <c r="O593" s="32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32"/>
      <c r="M594" s="32"/>
      <c r="N594" s="32"/>
      <c r="O594" s="32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32"/>
      <c r="M595" s="32"/>
      <c r="N595" s="32"/>
      <c r="O595" s="32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32"/>
      <c r="M596" s="32"/>
      <c r="N596" s="32"/>
      <c r="O596" s="32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32"/>
      <c r="M597" s="32"/>
      <c r="N597" s="32"/>
      <c r="O597" s="32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32"/>
      <c r="M598" s="32"/>
      <c r="N598" s="32"/>
      <c r="O598" s="32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32"/>
      <c r="M599" s="32"/>
      <c r="N599" s="32"/>
      <c r="O599" s="32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32"/>
      <c r="M600" s="32"/>
      <c r="N600" s="32"/>
      <c r="O600" s="32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32"/>
      <c r="M601" s="32"/>
      <c r="N601" s="32"/>
      <c r="O601" s="32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32"/>
      <c r="M602" s="32"/>
      <c r="N602" s="32"/>
      <c r="O602" s="32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32"/>
      <c r="M603" s="32"/>
      <c r="N603" s="32"/>
      <c r="O603" s="32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32"/>
      <c r="M604" s="32"/>
      <c r="N604" s="32"/>
      <c r="O604" s="32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32"/>
      <c r="M605" s="32"/>
      <c r="N605" s="32"/>
      <c r="O605" s="32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32"/>
      <c r="M606" s="32"/>
      <c r="N606" s="32"/>
      <c r="O606" s="32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32"/>
      <c r="M607" s="32"/>
      <c r="N607" s="32"/>
      <c r="O607" s="32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32"/>
      <c r="M608" s="32"/>
      <c r="N608" s="32"/>
      <c r="O608" s="32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32"/>
      <c r="M609" s="32"/>
      <c r="N609" s="32"/>
      <c r="O609" s="32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32"/>
      <c r="M610" s="32"/>
      <c r="N610" s="32"/>
      <c r="O610" s="32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32"/>
      <c r="M611" s="32"/>
      <c r="N611" s="32"/>
      <c r="O611" s="32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32"/>
      <c r="M612" s="32"/>
      <c r="N612" s="32"/>
      <c r="O612" s="32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32"/>
      <c r="M613" s="32"/>
      <c r="N613" s="32"/>
      <c r="O613" s="32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32"/>
      <c r="M614" s="32"/>
      <c r="N614" s="32"/>
      <c r="O614" s="32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32"/>
      <c r="M615" s="32"/>
      <c r="N615" s="32"/>
      <c r="O615" s="32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32"/>
      <c r="M616" s="32"/>
      <c r="N616" s="32"/>
      <c r="O616" s="32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32"/>
      <c r="M617" s="32"/>
      <c r="N617" s="32"/>
      <c r="O617" s="32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32"/>
      <c r="M618" s="32"/>
      <c r="N618" s="32"/>
      <c r="O618" s="32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32"/>
      <c r="M619" s="32"/>
      <c r="N619" s="32"/>
      <c r="O619" s="32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32"/>
      <c r="M620" s="32"/>
      <c r="N620" s="32"/>
      <c r="O620" s="32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32"/>
      <c r="M621" s="32"/>
      <c r="N621" s="32"/>
      <c r="O621" s="32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32"/>
      <c r="M622" s="32"/>
      <c r="N622" s="32"/>
      <c r="O622" s="32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32"/>
      <c r="M623" s="32"/>
      <c r="N623" s="32"/>
      <c r="O623" s="32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32"/>
      <c r="M624" s="32"/>
      <c r="N624" s="32"/>
      <c r="O624" s="32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32"/>
      <c r="M625" s="32"/>
      <c r="N625" s="32"/>
      <c r="O625" s="32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32"/>
      <c r="M626" s="32"/>
      <c r="N626" s="32"/>
      <c r="O626" s="32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32"/>
      <c r="M627" s="32"/>
      <c r="N627" s="32"/>
      <c r="O627" s="32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32"/>
      <c r="M628" s="32"/>
      <c r="N628" s="32"/>
      <c r="O628" s="32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32"/>
      <c r="M629" s="32"/>
      <c r="N629" s="32"/>
      <c r="O629" s="32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32"/>
      <c r="M630" s="32"/>
      <c r="N630" s="32"/>
      <c r="O630" s="32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32"/>
      <c r="M631" s="32"/>
      <c r="N631" s="32"/>
      <c r="O631" s="32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32"/>
      <c r="M632" s="32"/>
      <c r="N632" s="32"/>
      <c r="O632" s="32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32"/>
      <c r="M633" s="32"/>
      <c r="N633" s="32"/>
      <c r="O633" s="32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32"/>
      <c r="M634" s="32"/>
      <c r="N634" s="32"/>
      <c r="O634" s="32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32"/>
      <c r="M635" s="32"/>
      <c r="N635" s="32"/>
      <c r="O635" s="32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32"/>
      <c r="M636" s="32"/>
      <c r="N636" s="32"/>
      <c r="O636" s="32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32"/>
      <c r="M637" s="32"/>
      <c r="N637" s="32"/>
      <c r="O637" s="32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32"/>
      <c r="M638" s="32"/>
      <c r="N638" s="32"/>
      <c r="O638" s="32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32"/>
      <c r="M639" s="32"/>
      <c r="N639" s="32"/>
      <c r="O639" s="32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32"/>
      <c r="M640" s="32"/>
      <c r="N640" s="32"/>
      <c r="O640" s="32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32"/>
      <c r="M641" s="32"/>
      <c r="N641" s="32"/>
      <c r="O641" s="32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32"/>
      <c r="M642" s="32"/>
      <c r="N642" s="32"/>
      <c r="O642" s="32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32"/>
      <c r="M643" s="32"/>
      <c r="N643" s="32"/>
      <c r="O643" s="32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32"/>
      <c r="M644" s="32"/>
      <c r="N644" s="32"/>
      <c r="O644" s="32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32"/>
      <c r="M645" s="32"/>
      <c r="N645" s="32"/>
      <c r="O645" s="32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32"/>
      <c r="M646" s="32"/>
      <c r="N646" s="32"/>
      <c r="O646" s="32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32"/>
      <c r="M647" s="32"/>
      <c r="N647" s="32"/>
      <c r="O647" s="32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32"/>
      <c r="M648" s="32"/>
      <c r="N648" s="32"/>
      <c r="O648" s="32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32"/>
      <c r="M649" s="32"/>
      <c r="N649" s="32"/>
      <c r="O649" s="32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32"/>
      <c r="M650" s="32"/>
      <c r="N650" s="32"/>
      <c r="O650" s="32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32"/>
      <c r="M651" s="32"/>
      <c r="N651" s="32"/>
      <c r="O651" s="32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32"/>
      <c r="M652" s="32"/>
      <c r="N652" s="32"/>
      <c r="O652" s="32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32"/>
      <c r="M653" s="32"/>
      <c r="N653" s="32"/>
      <c r="O653" s="32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32"/>
      <c r="M654" s="32"/>
      <c r="N654" s="32"/>
      <c r="O654" s="32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32"/>
      <c r="M655" s="32"/>
      <c r="N655" s="32"/>
      <c r="O655" s="32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32"/>
      <c r="M656" s="32"/>
      <c r="N656" s="32"/>
      <c r="O656" s="32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32"/>
      <c r="M657" s="32"/>
      <c r="N657" s="32"/>
      <c r="O657" s="32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32"/>
      <c r="M658" s="32"/>
      <c r="N658" s="32"/>
      <c r="O658" s="32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32"/>
      <c r="M659" s="32"/>
      <c r="N659" s="32"/>
      <c r="O659" s="32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32"/>
      <c r="M660" s="32"/>
      <c r="N660" s="32"/>
      <c r="O660" s="32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32"/>
      <c r="M661" s="32"/>
      <c r="N661" s="32"/>
      <c r="O661" s="32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32"/>
      <c r="M662" s="32"/>
      <c r="N662" s="32"/>
      <c r="O662" s="32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32"/>
      <c r="M663" s="32"/>
      <c r="N663" s="32"/>
      <c r="O663" s="32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32"/>
      <c r="M664" s="32"/>
      <c r="N664" s="32"/>
      <c r="O664" s="32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32"/>
      <c r="M665" s="32"/>
      <c r="N665" s="32"/>
      <c r="O665" s="32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32"/>
      <c r="M666" s="32"/>
      <c r="N666" s="32"/>
      <c r="O666" s="32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32"/>
      <c r="M667" s="32"/>
      <c r="N667" s="32"/>
      <c r="O667" s="32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32"/>
      <c r="M668" s="32"/>
      <c r="N668" s="32"/>
      <c r="O668" s="32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32"/>
      <c r="M669" s="32"/>
      <c r="N669" s="32"/>
      <c r="O669" s="32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32"/>
      <c r="M670" s="32"/>
      <c r="N670" s="32"/>
      <c r="O670" s="32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32"/>
      <c r="M671" s="32"/>
      <c r="N671" s="32"/>
      <c r="O671" s="32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32"/>
      <c r="M672" s="32"/>
      <c r="N672" s="32"/>
      <c r="O672" s="32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32"/>
      <c r="M673" s="32"/>
      <c r="N673" s="32"/>
      <c r="O673" s="32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32"/>
      <c r="M674" s="32"/>
      <c r="N674" s="32"/>
      <c r="O674" s="32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32"/>
      <c r="M675" s="32"/>
      <c r="N675" s="32"/>
      <c r="O675" s="32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32"/>
      <c r="M676" s="32"/>
      <c r="N676" s="32"/>
      <c r="O676" s="32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32"/>
      <c r="M677" s="32"/>
      <c r="N677" s="32"/>
      <c r="O677" s="32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32"/>
      <c r="M678" s="32"/>
      <c r="N678" s="32"/>
      <c r="O678" s="32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32"/>
      <c r="M679" s="32"/>
      <c r="N679" s="32"/>
      <c r="O679" s="32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32"/>
      <c r="M680" s="32"/>
      <c r="N680" s="32"/>
      <c r="O680" s="32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32"/>
      <c r="M681" s="32"/>
      <c r="N681" s="32"/>
      <c r="O681" s="32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32"/>
      <c r="M682" s="32"/>
      <c r="N682" s="32"/>
      <c r="O682" s="32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32"/>
      <c r="M683" s="32"/>
      <c r="N683" s="32"/>
      <c r="O683" s="32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32"/>
      <c r="M684" s="32"/>
      <c r="N684" s="32"/>
      <c r="O684" s="32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32"/>
      <c r="M685" s="32"/>
      <c r="N685" s="32"/>
      <c r="O685" s="32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32"/>
      <c r="M686" s="32"/>
      <c r="N686" s="32"/>
      <c r="O686" s="32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32"/>
      <c r="M687" s="32"/>
      <c r="N687" s="32"/>
      <c r="O687" s="32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32"/>
      <c r="M688" s="32"/>
      <c r="N688" s="32"/>
      <c r="O688" s="32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32"/>
      <c r="M689" s="32"/>
      <c r="N689" s="32"/>
      <c r="O689" s="32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32"/>
      <c r="M690" s="32"/>
      <c r="N690" s="32"/>
      <c r="O690" s="32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32"/>
      <c r="M691" s="32"/>
      <c r="N691" s="32"/>
      <c r="O691" s="32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32"/>
      <c r="M692" s="32"/>
      <c r="N692" s="32"/>
      <c r="O692" s="32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32"/>
      <c r="M693" s="32"/>
      <c r="N693" s="32"/>
      <c r="O693" s="32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32"/>
      <c r="M694" s="32"/>
      <c r="N694" s="32"/>
      <c r="O694" s="32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32"/>
      <c r="M695" s="32"/>
      <c r="N695" s="32"/>
      <c r="O695" s="32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32"/>
      <c r="M696" s="32"/>
      <c r="N696" s="32"/>
      <c r="O696" s="32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32"/>
      <c r="M697" s="32"/>
      <c r="N697" s="32"/>
      <c r="O697" s="32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32"/>
      <c r="M698" s="32"/>
      <c r="N698" s="32"/>
      <c r="O698" s="32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32"/>
      <c r="M699" s="32"/>
      <c r="N699" s="32"/>
      <c r="O699" s="32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32"/>
      <c r="M700" s="32"/>
      <c r="N700" s="32"/>
      <c r="O700" s="32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32"/>
      <c r="M701" s="32"/>
      <c r="N701" s="32"/>
      <c r="O701" s="32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32"/>
      <c r="M702" s="32"/>
      <c r="N702" s="32"/>
      <c r="O702" s="32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32"/>
      <c r="M703" s="32"/>
      <c r="N703" s="32"/>
      <c r="O703" s="32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32"/>
      <c r="M704" s="32"/>
      <c r="N704" s="32"/>
      <c r="O704" s="32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32"/>
      <c r="M705" s="32"/>
      <c r="N705" s="32"/>
      <c r="O705" s="32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32"/>
      <c r="M706" s="32"/>
      <c r="N706" s="32"/>
      <c r="O706" s="32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32"/>
      <c r="M707" s="32"/>
      <c r="N707" s="32"/>
      <c r="O707" s="32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32"/>
      <c r="M708" s="32"/>
      <c r="N708" s="32"/>
      <c r="O708" s="32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32"/>
      <c r="M709" s="32"/>
      <c r="N709" s="32"/>
      <c r="O709" s="32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32"/>
      <c r="M710" s="32"/>
      <c r="N710" s="32"/>
      <c r="O710" s="32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32"/>
      <c r="M711" s="32"/>
      <c r="N711" s="32"/>
      <c r="O711" s="32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32"/>
      <c r="M712" s="32"/>
      <c r="N712" s="32"/>
      <c r="O712" s="32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32"/>
      <c r="M713" s="32"/>
      <c r="N713" s="32"/>
      <c r="O713" s="32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32"/>
      <c r="M714" s="32"/>
      <c r="N714" s="32"/>
      <c r="O714" s="32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32"/>
      <c r="M715" s="32"/>
      <c r="N715" s="32"/>
      <c r="O715" s="32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32"/>
      <c r="M716" s="32"/>
      <c r="N716" s="32"/>
      <c r="O716" s="32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32"/>
      <c r="M717" s="32"/>
      <c r="N717" s="32"/>
      <c r="O717" s="32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32"/>
      <c r="M718" s="32"/>
      <c r="N718" s="32"/>
      <c r="O718" s="32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32"/>
      <c r="M719" s="32"/>
      <c r="N719" s="32"/>
      <c r="O719" s="32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32"/>
      <c r="M720" s="32"/>
      <c r="N720" s="32"/>
      <c r="O720" s="32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32"/>
      <c r="M721" s="32"/>
      <c r="N721" s="32"/>
      <c r="O721" s="32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32"/>
      <c r="M722" s="32"/>
      <c r="N722" s="32"/>
      <c r="O722" s="32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32"/>
      <c r="M723" s="32"/>
      <c r="N723" s="32"/>
      <c r="O723" s="32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32"/>
      <c r="M724" s="32"/>
      <c r="N724" s="32"/>
      <c r="O724" s="32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32"/>
      <c r="M725" s="32"/>
      <c r="N725" s="32"/>
      <c r="O725" s="32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32"/>
      <c r="M726" s="32"/>
      <c r="N726" s="32"/>
      <c r="O726" s="32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32"/>
      <c r="M727" s="32"/>
      <c r="N727" s="32"/>
      <c r="O727" s="32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32"/>
      <c r="M728" s="32"/>
      <c r="N728" s="32"/>
      <c r="O728" s="32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32"/>
      <c r="M729" s="32"/>
      <c r="N729" s="32"/>
      <c r="O729" s="32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32"/>
      <c r="M730" s="32"/>
      <c r="N730" s="32"/>
      <c r="O730" s="32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32"/>
      <c r="M731" s="32"/>
      <c r="N731" s="32"/>
      <c r="O731" s="32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32"/>
      <c r="M732" s="32"/>
      <c r="N732" s="32"/>
      <c r="O732" s="32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32"/>
      <c r="M733" s="32"/>
      <c r="N733" s="32"/>
      <c r="O733" s="32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32"/>
      <c r="M734" s="32"/>
      <c r="N734" s="32"/>
      <c r="O734" s="32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32"/>
      <c r="M735" s="32"/>
      <c r="N735" s="32"/>
      <c r="O735" s="32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32"/>
      <c r="M736" s="32"/>
      <c r="N736" s="32"/>
      <c r="O736" s="32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32"/>
      <c r="M737" s="32"/>
      <c r="N737" s="32"/>
      <c r="O737" s="32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32"/>
      <c r="M738" s="32"/>
      <c r="N738" s="32"/>
      <c r="O738" s="32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32"/>
      <c r="M739" s="32"/>
      <c r="N739" s="32"/>
      <c r="O739" s="32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32"/>
      <c r="M740" s="32"/>
      <c r="N740" s="32"/>
      <c r="O740" s="32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32"/>
      <c r="M741" s="32"/>
      <c r="N741" s="32"/>
      <c r="O741" s="32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32"/>
      <c r="M742" s="32"/>
      <c r="N742" s="32"/>
      <c r="O742" s="32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32"/>
      <c r="M743" s="32"/>
      <c r="N743" s="32"/>
      <c r="O743" s="32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32"/>
      <c r="M744" s="32"/>
      <c r="N744" s="32"/>
      <c r="O744" s="32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32"/>
      <c r="M745" s="32"/>
      <c r="N745" s="32"/>
      <c r="O745" s="32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32"/>
      <c r="M746" s="32"/>
      <c r="N746" s="32"/>
      <c r="O746" s="32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32"/>
      <c r="M747" s="32"/>
      <c r="N747" s="32"/>
      <c r="O747" s="32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32"/>
      <c r="M748" s="32"/>
      <c r="N748" s="32"/>
      <c r="O748" s="32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32"/>
      <c r="M749" s="32"/>
      <c r="N749" s="32"/>
      <c r="O749" s="32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32"/>
      <c r="M750" s="32"/>
      <c r="N750" s="32"/>
      <c r="O750" s="32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32"/>
      <c r="M751" s="32"/>
      <c r="N751" s="32"/>
      <c r="O751" s="32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32"/>
      <c r="M752" s="32"/>
      <c r="N752" s="32"/>
      <c r="O752" s="32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32"/>
      <c r="M753" s="32"/>
      <c r="N753" s="32"/>
      <c r="O753" s="32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32"/>
      <c r="M754" s="32"/>
      <c r="N754" s="32"/>
      <c r="O754" s="32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32"/>
      <c r="M755" s="32"/>
      <c r="N755" s="32"/>
      <c r="O755" s="32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32"/>
      <c r="M756" s="32"/>
      <c r="N756" s="32"/>
      <c r="O756" s="32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32"/>
      <c r="M757" s="32"/>
      <c r="N757" s="32"/>
      <c r="O757" s="32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32"/>
      <c r="M758" s="32"/>
      <c r="N758" s="32"/>
      <c r="O758" s="32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32"/>
      <c r="M759" s="32"/>
      <c r="N759" s="32"/>
      <c r="O759" s="32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32"/>
      <c r="M760" s="32"/>
      <c r="N760" s="32"/>
      <c r="O760" s="32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32"/>
      <c r="M761" s="32"/>
      <c r="N761" s="32"/>
      <c r="O761" s="32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32"/>
      <c r="M762" s="32"/>
      <c r="N762" s="32"/>
      <c r="O762" s="32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32"/>
      <c r="M763" s="32"/>
      <c r="N763" s="32"/>
      <c r="O763" s="32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32"/>
      <c r="M764" s="32"/>
      <c r="N764" s="32"/>
      <c r="O764" s="32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32"/>
      <c r="M765" s="32"/>
      <c r="N765" s="32"/>
      <c r="O765" s="32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32"/>
      <c r="M766" s="32"/>
      <c r="N766" s="32"/>
      <c r="O766" s="32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32"/>
      <c r="M767" s="32"/>
      <c r="N767" s="32"/>
      <c r="O767" s="32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32"/>
      <c r="M768" s="32"/>
      <c r="N768" s="32"/>
      <c r="O768" s="32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32"/>
      <c r="M769" s="32"/>
      <c r="N769" s="32"/>
      <c r="O769" s="32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32"/>
      <c r="M770" s="32"/>
      <c r="N770" s="32"/>
      <c r="O770" s="32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32"/>
      <c r="M771" s="32"/>
      <c r="N771" s="32"/>
      <c r="O771" s="32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32"/>
      <c r="M772" s="32"/>
      <c r="N772" s="32"/>
      <c r="O772" s="32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32"/>
      <c r="M773" s="32"/>
      <c r="N773" s="32"/>
      <c r="O773" s="32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32"/>
      <c r="M774" s="32"/>
      <c r="N774" s="32"/>
      <c r="O774" s="32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32"/>
      <c r="M775" s="32"/>
      <c r="N775" s="32"/>
      <c r="O775" s="32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32"/>
      <c r="M776" s="32"/>
      <c r="N776" s="32"/>
      <c r="O776" s="32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32"/>
      <c r="M777" s="32"/>
      <c r="N777" s="32"/>
      <c r="O777" s="32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32"/>
      <c r="M778" s="32"/>
      <c r="N778" s="32"/>
      <c r="O778" s="32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32"/>
      <c r="M779" s="32"/>
      <c r="N779" s="32"/>
      <c r="O779" s="32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32"/>
      <c r="M780" s="32"/>
      <c r="N780" s="32"/>
      <c r="O780" s="32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32"/>
      <c r="M781" s="32"/>
      <c r="N781" s="32"/>
      <c r="O781" s="32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32"/>
      <c r="M782" s="32"/>
      <c r="N782" s="32"/>
      <c r="O782" s="32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32"/>
      <c r="M783" s="32"/>
      <c r="N783" s="32"/>
      <c r="O783" s="32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32"/>
      <c r="M784" s="32"/>
      <c r="N784" s="32"/>
      <c r="O784" s="32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32"/>
      <c r="M785" s="32"/>
      <c r="N785" s="32"/>
      <c r="O785" s="32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32"/>
      <c r="M786" s="32"/>
      <c r="N786" s="32"/>
      <c r="O786" s="32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32"/>
      <c r="M787" s="32"/>
      <c r="N787" s="32"/>
      <c r="O787" s="32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32"/>
      <c r="M788" s="32"/>
      <c r="N788" s="32"/>
      <c r="O788" s="32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32"/>
      <c r="M789" s="32"/>
      <c r="N789" s="32"/>
      <c r="O789" s="32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32"/>
      <c r="M790" s="32"/>
      <c r="N790" s="32"/>
      <c r="O790" s="32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32"/>
      <c r="M791" s="32"/>
      <c r="N791" s="32"/>
      <c r="O791" s="32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32"/>
      <c r="M792" s="32"/>
      <c r="N792" s="32"/>
      <c r="O792" s="32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32"/>
      <c r="M793" s="32"/>
      <c r="N793" s="32"/>
      <c r="O793" s="32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32"/>
      <c r="M794" s="32"/>
      <c r="N794" s="32"/>
      <c r="O794" s="32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32"/>
      <c r="M795" s="32"/>
      <c r="N795" s="32"/>
      <c r="O795" s="32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32"/>
      <c r="M796" s="32"/>
      <c r="N796" s="32"/>
      <c r="O796" s="32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32"/>
      <c r="M797" s="32"/>
      <c r="N797" s="32"/>
      <c r="O797" s="32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32"/>
      <c r="M798" s="32"/>
      <c r="N798" s="32"/>
      <c r="O798" s="32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32"/>
      <c r="M799" s="32"/>
      <c r="N799" s="32"/>
      <c r="O799" s="32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32"/>
      <c r="M800" s="32"/>
      <c r="N800" s="32"/>
      <c r="O800" s="32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32"/>
      <c r="M801" s="32"/>
      <c r="N801" s="32"/>
      <c r="O801" s="32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32"/>
      <c r="M802" s="32"/>
      <c r="N802" s="32"/>
      <c r="O802" s="32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32"/>
      <c r="M803" s="32"/>
      <c r="N803" s="32"/>
      <c r="O803" s="32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32"/>
      <c r="M804" s="32"/>
      <c r="N804" s="32"/>
      <c r="O804" s="32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32"/>
      <c r="M805" s="32"/>
      <c r="N805" s="32"/>
      <c r="O805" s="32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32"/>
      <c r="M806" s="32"/>
      <c r="N806" s="32"/>
      <c r="O806" s="32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32"/>
      <c r="M807" s="32"/>
      <c r="N807" s="32"/>
      <c r="O807" s="32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32"/>
      <c r="M808" s="32"/>
      <c r="N808" s="32"/>
      <c r="O808" s="32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32"/>
      <c r="M809" s="32"/>
      <c r="N809" s="32"/>
      <c r="O809" s="32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32"/>
      <c r="M810" s="32"/>
      <c r="N810" s="32"/>
      <c r="O810" s="32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32"/>
      <c r="M811" s="32"/>
      <c r="N811" s="32"/>
      <c r="O811" s="32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32"/>
      <c r="M812" s="32"/>
      <c r="N812" s="32"/>
      <c r="O812" s="32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32"/>
      <c r="M813" s="32"/>
      <c r="N813" s="32"/>
      <c r="O813" s="32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32"/>
      <c r="M814" s="32"/>
      <c r="N814" s="32"/>
      <c r="O814" s="32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32"/>
      <c r="M815" s="32"/>
      <c r="N815" s="32"/>
      <c r="O815" s="32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32"/>
      <c r="M816" s="32"/>
      <c r="N816" s="32"/>
      <c r="O816" s="32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32"/>
      <c r="M817" s="32"/>
      <c r="N817" s="32"/>
      <c r="O817" s="32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32"/>
      <c r="M818" s="32"/>
      <c r="N818" s="32"/>
      <c r="O818" s="32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32"/>
      <c r="M819" s="32"/>
      <c r="N819" s="32"/>
      <c r="O819" s="32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32"/>
      <c r="M820" s="32"/>
      <c r="N820" s="32"/>
      <c r="O820" s="32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32"/>
      <c r="M821" s="32"/>
      <c r="N821" s="32"/>
      <c r="O821" s="32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32"/>
      <c r="M822" s="32"/>
      <c r="N822" s="32"/>
      <c r="O822" s="32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32"/>
      <c r="M823" s="32"/>
      <c r="N823" s="32"/>
      <c r="O823" s="32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32"/>
      <c r="M824" s="32"/>
      <c r="N824" s="32"/>
      <c r="O824" s="32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32"/>
      <c r="M825" s="32"/>
      <c r="N825" s="32"/>
      <c r="O825" s="32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32"/>
      <c r="M826" s="32"/>
      <c r="N826" s="32"/>
      <c r="O826" s="32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32"/>
      <c r="M827" s="32"/>
      <c r="N827" s="32"/>
      <c r="O827" s="32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32"/>
      <c r="M828" s="32"/>
      <c r="N828" s="32"/>
      <c r="O828" s="32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32"/>
      <c r="M829" s="32"/>
      <c r="N829" s="32"/>
      <c r="O829" s="32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32"/>
      <c r="M830" s="32"/>
      <c r="N830" s="32"/>
      <c r="O830" s="32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32"/>
      <c r="M831" s="32"/>
      <c r="N831" s="32"/>
      <c r="O831" s="32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32"/>
      <c r="M832" s="32"/>
      <c r="N832" s="32"/>
      <c r="O832" s="32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32"/>
      <c r="M833" s="32"/>
      <c r="N833" s="32"/>
      <c r="O833" s="32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32"/>
      <c r="M834" s="32"/>
      <c r="N834" s="32"/>
      <c r="O834" s="32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32"/>
      <c r="M835" s="32"/>
      <c r="N835" s="32"/>
      <c r="O835" s="32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32"/>
      <c r="M836" s="32"/>
      <c r="N836" s="32"/>
      <c r="O836" s="32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32"/>
      <c r="M837" s="32"/>
      <c r="N837" s="32"/>
      <c r="O837" s="32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32"/>
      <c r="M838" s="32"/>
      <c r="N838" s="32"/>
      <c r="O838" s="32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32"/>
      <c r="M839" s="32"/>
      <c r="N839" s="32"/>
      <c r="O839" s="32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32"/>
      <c r="M840" s="32"/>
      <c r="N840" s="32"/>
      <c r="O840" s="32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32"/>
      <c r="M841" s="32"/>
      <c r="N841" s="32"/>
      <c r="O841" s="32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32"/>
      <c r="M842" s="32"/>
      <c r="N842" s="32"/>
      <c r="O842" s="32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32"/>
      <c r="M843" s="32"/>
      <c r="N843" s="32"/>
      <c r="O843" s="32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32"/>
      <c r="M844" s="32"/>
      <c r="N844" s="32"/>
      <c r="O844" s="32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32"/>
      <c r="M845" s="32"/>
      <c r="N845" s="32"/>
      <c r="O845" s="32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32"/>
      <c r="M846" s="32"/>
      <c r="N846" s="32"/>
      <c r="O846" s="32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32"/>
      <c r="M847" s="32"/>
      <c r="N847" s="32"/>
      <c r="O847" s="32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32"/>
      <c r="M848" s="32"/>
      <c r="N848" s="32"/>
      <c r="O848" s="32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32"/>
      <c r="M849" s="32"/>
      <c r="N849" s="32"/>
      <c r="O849" s="32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32"/>
      <c r="M850" s="32"/>
      <c r="N850" s="32"/>
      <c r="O850" s="32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32"/>
      <c r="M851" s="32"/>
      <c r="N851" s="32"/>
      <c r="O851" s="32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32"/>
      <c r="M852" s="32"/>
      <c r="N852" s="32"/>
      <c r="O852" s="32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32"/>
      <c r="M853" s="32"/>
      <c r="N853" s="32"/>
      <c r="O853" s="32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32"/>
      <c r="M854" s="32"/>
      <c r="N854" s="32"/>
      <c r="O854" s="32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32"/>
      <c r="M855" s="32"/>
      <c r="N855" s="32"/>
      <c r="O855" s="32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32"/>
      <c r="M856" s="32"/>
      <c r="N856" s="32"/>
      <c r="O856" s="32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32"/>
      <c r="M857" s="32"/>
      <c r="N857" s="32"/>
      <c r="O857" s="32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32"/>
      <c r="M858" s="32"/>
      <c r="N858" s="32"/>
      <c r="O858" s="32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32"/>
      <c r="M859" s="32"/>
      <c r="N859" s="32"/>
      <c r="O859" s="32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32"/>
      <c r="M860" s="32"/>
      <c r="N860" s="32"/>
      <c r="O860" s="32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32"/>
      <c r="M861" s="32"/>
      <c r="N861" s="32"/>
      <c r="O861" s="32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32"/>
      <c r="M862" s="32"/>
      <c r="N862" s="32"/>
      <c r="O862" s="32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32"/>
      <c r="M863" s="32"/>
      <c r="N863" s="32"/>
      <c r="O863" s="32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32"/>
      <c r="M864" s="32"/>
      <c r="N864" s="32"/>
      <c r="O864" s="32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32"/>
      <c r="M865" s="32"/>
      <c r="N865" s="32"/>
      <c r="O865" s="32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32"/>
      <c r="M866" s="32"/>
      <c r="N866" s="32"/>
      <c r="O866" s="32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32"/>
      <c r="M867" s="32"/>
      <c r="N867" s="32"/>
      <c r="O867" s="32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32"/>
      <c r="M868" s="32"/>
      <c r="N868" s="32"/>
      <c r="O868" s="32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32"/>
      <c r="M869" s="32"/>
      <c r="N869" s="32"/>
      <c r="O869" s="32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32"/>
      <c r="M870" s="32"/>
      <c r="N870" s="32"/>
      <c r="O870" s="32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32"/>
      <c r="M871" s="32"/>
      <c r="N871" s="32"/>
      <c r="O871" s="32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32"/>
      <c r="M872" s="32"/>
      <c r="N872" s="32"/>
      <c r="O872" s="32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32"/>
      <c r="M873" s="32"/>
      <c r="N873" s="32"/>
      <c r="O873" s="32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32"/>
      <c r="M874" s="32"/>
      <c r="N874" s="32"/>
      <c r="O874" s="32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32"/>
      <c r="M875" s="32"/>
      <c r="N875" s="32"/>
      <c r="O875" s="32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32"/>
      <c r="M876" s="32"/>
      <c r="N876" s="32"/>
      <c r="O876" s="32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32"/>
      <c r="M877" s="32"/>
      <c r="N877" s="32"/>
      <c r="O877" s="32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32"/>
      <c r="M878" s="32"/>
      <c r="N878" s="32"/>
      <c r="O878" s="32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32"/>
      <c r="M879" s="32"/>
      <c r="N879" s="32"/>
      <c r="O879" s="32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32"/>
      <c r="M880" s="32"/>
      <c r="N880" s="32"/>
      <c r="O880" s="32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32"/>
      <c r="M881" s="32"/>
      <c r="N881" s="32"/>
      <c r="O881" s="32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32"/>
      <c r="M882" s="32"/>
      <c r="N882" s="32"/>
      <c r="O882" s="32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32"/>
      <c r="M883" s="32"/>
      <c r="N883" s="32"/>
      <c r="O883" s="32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32"/>
      <c r="M884" s="32"/>
      <c r="N884" s="32"/>
      <c r="O884" s="32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32"/>
      <c r="M885" s="32"/>
      <c r="N885" s="32"/>
      <c r="O885" s="32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32"/>
      <c r="M886" s="32"/>
      <c r="N886" s="32"/>
      <c r="O886" s="32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32"/>
      <c r="M887" s="32"/>
      <c r="N887" s="32"/>
      <c r="O887" s="32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32"/>
      <c r="M888" s="32"/>
      <c r="N888" s="32"/>
      <c r="O888" s="32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32"/>
      <c r="M889" s="32"/>
      <c r="N889" s="32"/>
      <c r="O889" s="32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32"/>
      <c r="M890" s="32"/>
      <c r="N890" s="32"/>
      <c r="O890" s="32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32"/>
      <c r="M891" s="32"/>
      <c r="N891" s="32"/>
      <c r="O891" s="32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32"/>
      <c r="M892" s="32"/>
      <c r="N892" s="32"/>
      <c r="O892" s="32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32"/>
      <c r="M893" s="32"/>
      <c r="N893" s="32"/>
      <c r="O893" s="32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32"/>
      <c r="M894" s="32"/>
      <c r="N894" s="32"/>
      <c r="O894" s="32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32"/>
      <c r="M895" s="32"/>
      <c r="N895" s="32"/>
      <c r="O895" s="32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32"/>
      <c r="M896" s="32"/>
      <c r="N896" s="32"/>
      <c r="O896" s="32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32"/>
      <c r="M897" s="32"/>
      <c r="N897" s="32"/>
      <c r="O897" s="32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32"/>
      <c r="M898" s="32"/>
      <c r="N898" s="32"/>
      <c r="O898" s="32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32"/>
      <c r="M899" s="32"/>
      <c r="N899" s="32"/>
      <c r="O899" s="32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32"/>
      <c r="M900" s="32"/>
      <c r="N900" s="32"/>
      <c r="O900" s="32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32"/>
      <c r="M901" s="32"/>
      <c r="N901" s="32"/>
      <c r="O901" s="32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32"/>
      <c r="M902" s="32"/>
      <c r="N902" s="32"/>
      <c r="O902" s="32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32"/>
      <c r="M903" s="32"/>
      <c r="N903" s="32"/>
      <c r="O903" s="32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32"/>
      <c r="M904" s="32"/>
      <c r="N904" s="32"/>
      <c r="O904" s="32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32"/>
      <c r="M905" s="32"/>
      <c r="N905" s="32"/>
      <c r="O905" s="32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32"/>
      <c r="M906" s="32"/>
      <c r="N906" s="32"/>
      <c r="O906" s="32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32"/>
      <c r="M907" s="32"/>
      <c r="N907" s="32"/>
      <c r="O907" s="32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32"/>
      <c r="M908" s="32"/>
      <c r="N908" s="32"/>
      <c r="O908" s="32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32"/>
      <c r="M909" s="32"/>
      <c r="N909" s="32"/>
      <c r="O909" s="32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32"/>
      <c r="M910" s="32"/>
      <c r="N910" s="32"/>
      <c r="O910" s="32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32"/>
      <c r="M911" s="32"/>
      <c r="N911" s="32"/>
      <c r="O911" s="32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32"/>
      <c r="M912" s="32"/>
      <c r="N912" s="32"/>
      <c r="O912" s="32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32"/>
      <c r="M913" s="32"/>
      <c r="N913" s="32"/>
      <c r="O913" s="32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32"/>
      <c r="M914" s="32"/>
      <c r="N914" s="32"/>
      <c r="O914" s="32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32"/>
      <c r="M915" s="32"/>
      <c r="N915" s="32"/>
      <c r="O915" s="32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32"/>
      <c r="M916" s="32"/>
      <c r="N916" s="32"/>
      <c r="O916" s="32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32"/>
      <c r="M917" s="32"/>
      <c r="N917" s="32"/>
      <c r="O917" s="32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32"/>
      <c r="M918" s="32"/>
      <c r="N918" s="32"/>
      <c r="O918" s="32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32"/>
      <c r="M919" s="32"/>
      <c r="N919" s="32"/>
      <c r="O919" s="32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32"/>
      <c r="M920" s="32"/>
      <c r="N920" s="32"/>
      <c r="O920" s="32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32"/>
      <c r="M921" s="32"/>
      <c r="N921" s="32"/>
      <c r="O921" s="32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32"/>
      <c r="M922" s="32"/>
      <c r="N922" s="32"/>
      <c r="O922" s="32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32"/>
      <c r="M923" s="32"/>
      <c r="N923" s="32"/>
      <c r="O923" s="32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32"/>
      <c r="M924" s="32"/>
      <c r="N924" s="32"/>
      <c r="O924" s="32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32"/>
      <c r="M925" s="32"/>
      <c r="N925" s="32"/>
      <c r="O925" s="32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32"/>
      <c r="M926" s="32"/>
      <c r="N926" s="32"/>
      <c r="O926" s="32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32"/>
      <c r="M927" s="32"/>
      <c r="N927" s="32"/>
      <c r="O927" s="32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32"/>
      <c r="M928" s="32"/>
      <c r="N928" s="32"/>
      <c r="O928" s="32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32"/>
      <c r="M929" s="32"/>
      <c r="N929" s="32"/>
      <c r="O929" s="32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32"/>
      <c r="M930" s="32"/>
      <c r="N930" s="32"/>
      <c r="O930" s="32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32"/>
      <c r="M931" s="32"/>
      <c r="N931" s="32"/>
      <c r="O931" s="32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32"/>
      <c r="M932" s="32"/>
      <c r="N932" s="32"/>
      <c r="O932" s="32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32"/>
      <c r="M933" s="32"/>
      <c r="N933" s="32"/>
      <c r="O933" s="32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32"/>
      <c r="M934" s="32"/>
      <c r="N934" s="32"/>
      <c r="O934" s="32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32"/>
      <c r="M935" s="32"/>
      <c r="N935" s="32"/>
      <c r="O935" s="32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32"/>
      <c r="M936" s="32"/>
      <c r="N936" s="32"/>
      <c r="O936" s="32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32"/>
      <c r="M937" s="32"/>
      <c r="N937" s="32"/>
      <c r="O937" s="32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32"/>
      <c r="M938" s="32"/>
      <c r="N938" s="32"/>
      <c r="O938" s="32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32"/>
      <c r="M939" s="32"/>
      <c r="N939" s="32"/>
      <c r="O939" s="32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32"/>
      <c r="M940" s="32"/>
      <c r="N940" s="32"/>
      <c r="O940" s="32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32"/>
      <c r="M941" s="32"/>
      <c r="N941" s="32"/>
      <c r="O941" s="32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32"/>
      <c r="M942" s="32"/>
      <c r="N942" s="32"/>
      <c r="O942" s="32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</sheetData>
  <mergeCells count="27">
    <mergeCell ref="B29:X29"/>
    <mergeCell ref="B70:K70"/>
    <mergeCell ref="B71:K71"/>
    <mergeCell ref="C72:L72"/>
    <mergeCell ref="C73:L73"/>
    <mergeCell ref="B7:C7"/>
    <mergeCell ref="B8:K8"/>
    <mergeCell ref="K9:K10"/>
    <mergeCell ref="B26:K26"/>
    <mergeCell ref="B27:X28"/>
    <mergeCell ref="B9:C9"/>
    <mergeCell ref="D9:D10"/>
    <mergeCell ref="E9:E10"/>
    <mergeCell ref="F9:G9"/>
    <mergeCell ref="H9:H10"/>
    <mergeCell ref="I9:J9"/>
    <mergeCell ref="B11:X11"/>
    <mergeCell ref="B1:X1"/>
    <mergeCell ref="B2:X2"/>
    <mergeCell ref="B3:X3"/>
    <mergeCell ref="B4:X4"/>
    <mergeCell ref="B6:X6"/>
    <mergeCell ref="L8:O8"/>
    <mergeCell ref="P8:X8"/>
    <mergeCell ref="P9:R9"/>
    <mergeCell ref="S9:U9"/>
    <mergeCell ref="V9:X9"/>
  </mergeCells>
  <printOptions horizontalCentered="1"/>
  <pageMargins left="0.7" right="0.7" top="0.75" bottom="0.75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MDEO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dcterms:created xsi:type="dcterms:W3CDTF">2010-01-11T15:46:31Z</dcterms:created>
  <dcterms:modified xsi:type="dcterms:W3CDTF">2026-01-21T13:20:33Z</dcterms:modified>
</cp:coreProperties>
</file>